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ctewagl.sharepoint.com/teams/GN26/Shared Documents/Revised Access Arrangement Proposal Jan 2026/GN26 RP FINAL DOCUMENTS/FINAL APPENDICES/"/>
    </mc:Choice>
  </mc:AlternateContent>
  <xr:revisionPtr revIDLastSave="6" documentId="8_{33FD8DDB-DF93-4979-947A-BDB5ECFB563A}" xr6:coauthVersionLast="47" xr6:coauthVersionMax="47" xr10:uidLastSave="{1825955E-44FB-4F8C-908E-96557C17971E}"/>
  <bookViews>
    <workbookView xWindow="-120" yWindow="-120" windowWidth="29040" windowHeight="15720" tabRatio="804" firstSheet="6" activeTab="6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'Lookup|Tables'!$H$73:$H$79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'Lookup|Tables'!$H$73:$H$78</definedName>
    <definedName name="thousands">'Lookup|Tables'!$G$18</definedName>
    <definedName name="unit">'Lookup|Tables'!$G$22</definedName>
    <definedName name="units">'Input|General'!$G$15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0" i="2" l="1"/>
  <c r="P67" i="42"/>
  <c r="Q67" i="42"/>
  <c r="R67" i="42"/>
  <c r="S67" i="42"/>
  <c r="O67" i="42"/>
  <c r="C95" i="2" l="1" a="1"/>
  <c r="C95" i="2" s="1"/>
  <c r="T40" i="2" l="1"/>
  <c r="S40" i="2"/>
  <c r="R40" i="2"/>
  <c r="Q40" i="2"/>
  <c r="P40" i="2"/>
  <c r="I67" i="4" l="1"/>
  <c r="H67" i="4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H78" i="55" l="1"/>
  <c r="H80" i="55"/>
  <c r="H84" i="55" s="1"/>
  <c r="H77" i="55"/>
  <c r="H88" i="55" l="1"/>
  <c r="H79" i="55"/>
  <c r="H82" i="55"/>
  <c r="H83" i="55" l="1"/>
  <c r="H86" i="55"/>
  <c r="H81" i="55"/>
  <c r="H87" i="55" l="1"/>
  <c r="H85" i="55"/>
  <c r="V87" i="55"/>
  <c r="V88" i="55"/>
  <c r="W32" i="53" l="1"/>
  <c r="W31" i="53"/>
  <c r="W30" i="53"/>
  <c r="W14" i="53"/>
  <c r="W15" i="53"/>
  <c r="W16" i="53"/>
  <c r="W17" i="53"/>
  <c r="W18" i="53"/>
  <c r="W19" i="53"/>
  <c r="W20" i="53"/>
  <c r="V64" i="58"/>
  <c r="V65" i="58"/>
  <c r="V66" i="58"/>
  <c r="V67" i="58"/>
  <c r="V63" i="58"/>
  <c r="V55" i="58"/>
  <c r="I85" i="55" l="1"/>
  <c r="V85" i="55" s="1"/>
  <c r="I86" i="55"/>
  <c r="V86" i="55" s="1"/>
  <c r="V54" i="58"/>
  <c r="V45" i="58"/>
  <c r="V44" i="58"/>
  <c r="V43" i="58"/>
  <c r="V23" i="58"/>
  <c r="V24" i="58"/>
  <c r="V25" i="58"/>
  <c r="V26" i="58"/>
  <c r="V27" i="58"/>
  <c r="B2" i="55"/>
  <c r="I87" i="55" l="1"/>
  <c r="I88" i="55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E91" i="2"/>
  <c r="E90" i="2"/>
  <c r="E89" i="2"/>
  <c r="E88" i="2"/>
  <c r="E87" i="2"/>
  <c r="E86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C7" i="4" l="1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31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79" i="2"/>
  <c r="U4" i="2"/>
  <c r="U93" i="2" s="1"/>
  <c r="U96" i="2" s="1"/>
  <c r="H79" i="4"/>
  <c r="G79" i="4" s="1"/>
  <c r="T4" i="53"/>
  <c r="T38" i="53" s="1"/>
  <c r="T42" i="53" s="1"/>
  <c r="T4" i="58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H73" i="4"/>
  <c r="G73" i="4" s="1"/>
  <c r="N47" i="58"/>
  <c r="O47" i="58"/>
  <c r="P47" i="58"/>
  <c r="Q47" i="58"/>
  <c r="R47" i="58"/>
  <c r="S47" i="58"/>
  <c r="C91" i="2"/>
  <c r="C90" i="2"/>
  <c r="C89" i="2"/>
  <c r="C88" i="2"/>
  <c r="C87" i="2"/>
  <c r="C86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8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8" i="4"/>
  <c r="H48" i="4"/>
  <c r="H78" i="4"/>
  <c r="G78" i="4" s="1"/>
  <c r="H77" i="4"/>
  <c r="G77" i="4" s="1"/>
  <c r="H76" i="4"/>
  <c r="G76" i="4" s="1"/>
  <c r="H75" i="4"/>
  <c r="G75" i="4" s="1"/>
  <c r="H84" i="4"/>
  <c r="G84" i="4" s="1"/>
  <c r="H83" i="4"/>
  <c r="G83" i="4" s="1"/>
  <c r="H82" i="4"/>
  <c r="G82" i="4" s="1"/>
  <c r="H81" i="4"/>
  <c r="G81" i="4" s="1"/>
  <c r="H80" i="4"/>
  <c r="H74" i="4"/>
  <c r="G74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R4" i="53"/>
  <c r="R38" i="53" s="1"/>
  <c r="Q4" i="53"/>
  <c r="Q38" i="53" s="1"/>
  <c r="P4" i="53"/>
  <c r="O4" i="53"/>
  <c r="O38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93" i="2" s="1"/>
  <c r="T4" i="2"/>
  <c r="T75" i="2" s="1"/>
  <c r="S4" i="2"/>
  <c r="S64" i="2" s="1"/>
  <c r="R4" i="2"/>
  <c r="R49" i="2" s="1"/>
  <c r="R60" i="2" s="1"/>
  <c r="Q4" i="2"/>
  <c r="Q93" i="2" s="1"/>
  <c r="P4" i="2"/>
  <c r="P10" i="2" s="1"/>
  <c r="P12" i="2" s="1"/>
  <c r="O4" i="2"/>
  <c r="O64" i="2" s="1"/>
  <c r="N4" i="2"/>
  <c r="M4" i="2"/>
  <c r="M93" i="2" s="1"/>
  <c r="L4" i="2"/>
  <c r="L105" i="2" s="1"/>
  <c r="L109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N77" i="2"/>
  <c r="R23" i="42"/>
  <c r="S31" i="4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5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D11" i="16"/>
  <c r="C31" i="4"/>
  <c r="S9" i="54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J64" i="42"/>
  <c r="K64" i="42"/>
  <c r="L64" i="42"/>
  <c r="M64" i="42"/>
  <c r="N64" i="42"/>
  <c r="N67" i="42"/>
  <c r="P64" i="42"/>
  <c r="Q64" i="42"/>
  <c r="R64" i="42"/>
  <c r="S64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07" i="2"/>
  <c r="B2" i="2"/>
  <c r="B1" i="2"/>
  <c r="C72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J57" i="58"/>
  <c r="O68" i="42" l="1" a="1"/>
  <c r="O68" i="42" s="1"/>
  <c r="R68" i="42" a="1"/>
  <c r="R68" i="42" s="1"/>
  <c r="P68" i="42" a="1"/>
  <c r="P68" i="42" s="1"/>
  <c r="Q68" i="42" a="1"/>
  <c r="Q68" i="42" s="1"/>
  <c r="S68" i="42" a="1"/>
  <c r="S68" i="42" s="1"/>
  <c r="E23" i="42"/>
  <c r="K106" i="42"/>
  <c r="M12" i="42"/>
  <c r="K91" i="42"/>
  <c r="M91" i="42"/>
  <c r="K12" i="42"/>
  <c r="S75" i="42"/>
  <c r="M14" i="42"/>
  <c r="T75" i="42"/>
  <c r="S46" i="42"/>
  <c r="M43" i="42"/>
  <c r="K40" i="42"/>
  <c r="J95" i="2"/>
  <c r="J99" i="2"/>
  <c r="R31" i="42"/>
  <c r="R91" i="42"/>
  <c r="L105" i="42"/>
  <c r="R46" i="42"/>
  <c r="M95" i="2"/>
  <c r="M99" i="2"/>
  <c r="L107" i="42"/>
  <c r="L106" i="42"/>
  <c r="S43" i="42"/>
  <c r="L43" i="42"/>
  <c r="K49" i="42"/>
  <c r="T107" i="42"/>
  <c r="K19" i="42"/>
  <c r="T106" i="42"/>
  <c r="K107" i="42"/>
  <c r="L75" i="42"/>
  <c r="L40" i="42"/>
  <c r="L49" i="42"/>
  <c r="T105" i="42"/>
  <c r="L91" i="42"/>
  <c r="L37" i="42"/>
  <c r="S12" i="42"/>
  <c r="K105" i="42"/>
  <c r="S14" i="42"/>
  <c r="S37" i="42"/>
  <c r="L16" i="42"/>
  <c r="S21" i="42"/>
  <c r="L19" i="42"/>
  <c r="S91" i="42"/>
  <c r="K16" i="42"/>
  <c r="L10" i="42"/>
  <c r="S23" i="42"/>
  <c r="L12" i="42"/>
  <c r="L46" i="42"/>
  <c r="S16" i="42"/>
  <c r="K31" i="42"/>
  <c r="J34" i="58"/>
  <c r="L23" i="42"/>
  <c r="F17" i="44"/>
  <c r="P21" i="42"/>
  <c r="R10" i="53"/>
  <c r="P16" i="42"/>
  <c r="P23" i="42"/>
  <c r="P14" i="42"/>
  <c r="P43" i="42"/>
  <c r="S40" i="42"/>
  <c r="S33" i="42"/>
  <c r="S19" i="42"/>
  <c r="S10" i="42"/>
  <c r="S49" i="42"/>
  <c r="S35" i="42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1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N16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N37" i="42"/>
  <c r="N2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T10" i="53"/>
  <c r="T22" i="53" s="1"/>
  <c r="O26" i="53"/>
  <c r="F16" i="44"/>
  <c r="T12" i="42"/>
  <c r="L58" i="42"/>
  <c r="F23" i="58"/>
  <c r="S58" i="42"/>
  <c r="S36" i="2"/>
  <c r="S47" i="2" s="1"/>
  <c r="J14" i="42"/>
  <c r="J43" i="42"/>
  <c r="J31" i="42"/>
  <c r="J33" i="42"/>
  <c r="G80" i="4"/>
  <c r="J58" i="42"/>
  <c r="J61" i="42" s="1"/>
  <c r="J75" i="42"/>
  <c r="M105" i="2"/>
  <c r="M109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2" s="1"/>
  <c r="J12" i="42"/>
  <c r="Q19" i="42"/>
  <c r="J21" i="42"/>
  <c r="J61" i="58"/>
  <c r="J28" i="42" s="1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N61" i="42" s="1"/>
  <c r="F29" i="58"/>
  <c r="O58" i="42"/>
  <c r="M10" i="2"/>
  <c r="Q49" i="42"/>
  <c r="Q35" i="42"/>
  <c r="P64" i="2"/>
  <c r="Q49" i="2"/>
  <c r="Q60" i="2" s="1"/>
  <c r="R10" i="2"/>
  <c r="R12" i="2" s="1"/>
  <c r="M97" i="2"/>
  <c r="P14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J105" i="2"/>
  <c r="J109" i="2" s="1"/>
  <c r="O10" i="2"/>
  <c r="K21" i="42"/>
  <c r="U105" i="2"/>
  <c r="U109" i="2" s="1"/>
  <c r="Q58" i="42"/>
  <c r="F27" i="58"/>
  <c r="K75" i="42"/>
  <c r="J15" i="44"/>
  <c r="K43" i="42"/>
  <c r="K37" i="42"/>
  <c r="P36" i="2"/>
  <c r="P47" i="2" s="1"/>
  <c r="Q75" i="2"/>
  <c r="M64" i="2"/>
  <c r="M73" i="2" s="1"/>
  <c r="K23" i="42"/>
  <c r="J96" i="2"/>
  <c r="N38" i="53"/>
  <c r="N42" i="53" s="1"/>
  <c r="K35" i="42"/>
  <c r="U75" i="2"/>
  <c r="K58" i="42"/>
  <c r="K61" i="42" s="1"/>
  <c r="R58" i="42"/>
  <c r="T103" i="42"/>
  <c r="Q36" i="2"/>
  <c r="Q47" i="2" s="1"/>
  <c r="Q64" i="2"/>
  <c r="R10" i="58"/>
  <c r="R28" i="42" s="1"/>
  <c r="F15" i="58"/>
  <c r="K13" i="44"/>
  <c r="S26" i="53"/>
  <c r="R35" i="42"/>
  <c r="T58" i="42"/>
  <c r="T71" i="42" s="1" a="1"/>
  <c r="T71" i="42" s="1"/>
  <c r="F22" i="58"/>
  <c r="K14" i="44"/>
  <c r="K46" i="42"/>
  <c r="Q105" i="2"/>
  <c r="S38" i="53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10" i="53"/>
  <c r="P26" i="53"/>
  <c r="N93" i="2"/>
  <c r="N99" i="2" s="1"/>
  <c r="N64" i="2"/>
  <c r="N73" i="2" s="1"/>
  <c r="N24" i="2"/>
  <c r="N105" i="2"/>
  <c r="N109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98" i="2"/>
  <c r="U95" i="2"/>
  <c r="U97" i="2"/>
  <c r="S1" i="54"/>
  <c r="G10" i="16" s="1"/>
  <c r="K61" i="58"/>
  <c r="K10" i="58"/>
  <c r="S61" i="58"/>
  <c r="S10" i="58"/>
  <c r="R93" i="2"/>
  <c r="R64" i="2"/>
  <c r="R24" i="2"/>
  <c r="R105" i="2"/>
  <c r="R75" i="2"/>
  <c r="R14" i="2"/>
  <c r="R36" i="2"/>
  <c r="R47" i="2" s="1"/>
  <c r="L10" i="58"/>
  <c r="L34" i="58"/>
  <c r="L61" i="58"/>
  <c r="K10" i="2"/>
  <c r="K14" i="2"/>
  <c r="K24" i="2"/>
  <c r="K64" i="2"/>
  <c r="K73" i="2" s="1"/>
  <c r="K105" i="2"/>
  <c r="K109" i="2" s="1"/>
  <c r="K36" i="2"/>
  <c r="K47" i="2" s="1"/>
  <c r="K75" i="2"/>
  <c r="K49" i="2"/>
  <c r="K60" i="2" s="1"/>
  <c r="K93" i="2"/>
  <c r="K99" i="2" s="1"/>
  <c r="M103" i="42"/>
  <c r="M40" i="42"/>
  <c r="M75" i="42"/>
  <c r="M35" i="42"/>
  <c r="M16" i="42"/>
  <c r="M33" i="42"/>
  <c r="M23" i="42"/>
  <c r="M46" i="42"/>
  <c r="M21" i="42"/>
  <c r="M37" i="42"/>
  <c r="M58" i="42"/>
  <c r="M61" i="42" s="1"/>
  <c r="M19" i="42"/>
  <c r="M10" i="42"/>
  <c r="M49" i="42"/>
  <c r="P65" i="42" a="1"/>
  <c r="P65" i="42" s="1"/>
  <c r="M96" i="2"/>
  <c r="M98" i="2"/>
  <c r="J98" i="2"/>
  <c r="J97" i="2"/>
  <c r="S105" i="2"/>
  <c r="O49" i="2"/>
  <c r="O60" i="2" s="1"/>
  <c r="S75" i="2"/>
  <c r="O93" i="2"/>
  <c r="O99" i="2" s="1"/>
  <c r="S93" i="2"/>
  <c r="U36" i="2"/>
  <c r="U47" i="2" s="1"/>
  <c r="T26" i="53"/>
  <c r="T34" i="53" s="1"/>
  <c r="J14" i="44"/>
  <c r="O105" i="2"/>
  <c r="O109" i="2" s="1"/>
  <c r="L10" i="2"/>
  <c r="M10" i="58"/>
  <c r="M28" i="42" s="1"/>
  <c r="Q61" i="58"/>
  <c r="Q28" i="42" s="1"/>
  <c r="L93" i="2"/>
  <c r="L99" i="2" s="1"/>
  <c r="P93" i="2"/>
  <c r="T93" i="2"/>
  <c r="O24" i="2"/>
  <c r="S14" i="2"/>
  <c r="U64" i="2"/>
  <c r="U73" i="2" s="1"/>
  <c r="Q10" i="53"/>
  <c r="T105" i="2"/>
  <c r="P24" i="2"/>
  <c r="T10" i="2"/>
  <c r="T12" i="2" s="1"/>
  <c r="L75" i="2"/>
  <c r="O14" i="2"/>
  <c r="K16" i="44"/>
  <c r="J18" i="44"/>
  <c r="O36" i="2"/>
  <c r="O47" i="2" s="1"/>
  <c r="Q26" i="53"/>
  <c r="P105" i="2"/>
  <c r="L24" i="2"/>
  <c r="T14" i="2"/>
  <c r="L64" i="2"/>
  <c r="L73" i="2" s="1"/>
  <c r="U49" i="2"/>
  <c r="U60" i="2" s="1"/>
  <c r="S49" i="2"/>
  <c r="S60" i="2" s="1"/>
  <c r="T49" i="2"/>
  <c r="T60" i="2" s="1"/>
  <c r="S65" i="42" l="1" a="1"/>
  <c r="S65" i="42" s="1"/>
  <c r="L61" i="42"/>
  <c r="O65" i="42" a="1"/>
  <c r="O65" i="42" s="1"/>
  <c r="Q65" i="42" a="1"/>
  <c r="Q65" i="42" s="1"/>
  <c r="R65" i="42" a="1"/>
  <c r="R65" i="42" s="1"/>
  <c r="V20" i="58"/>
  <c r="V22" i="58"/>
  <c r="V21" i="58"/>
  <c r="J22" i="53"/>
  <c r="V53" i="58"/>
  <c r="N68" i="42" a="1"/>
  <c r="N68" i="42" s="1"/>
  <c r="T20" i="42"/>
  <c r="J62" i="42" a="1"/>
  <c r="J62" i="42" s="1"/>
  <c r="T13" i="42"/>
  <c r="J65" i="42" a="1"/>
  <c r="J65" i="42" s="1"/>
  <c r="J71" i="42" a="1"/>
  <c r="J71" i="42" s="1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19" i="58"/>
  <c r="V71" i="58"/>
  <c r="V69" i="58"/>
  <c r="N65" i="42" a="1"/>
  <c r="N65" i="42" s="1"/>
  <c r="T61" i="42"/>
  <c r="T70" i="42" s="1"/>
  <c r="L28" i="42"/>
  <c r="T65" i="42" a="1"/>
  <c r="T65" i="42" s="1"/>
  <c r="F23" i="42"/>
  <c r="F21" i="42"/>
  <c r="P28" i="42"/>
  <c r="S28" i="42"/>
  <c r="K28" i="42"/>
  <c r="K62" i="42" a="1"/>
  <c r="K62" i="42" s="1"/>
  <c r="K71" i="42" a="1"/>
  <c r="K71" i="42" s="1"/>
  <c r="K65" i="42" a="1"/>
  <c r="K65" i="42" s="1"/>
  <c r="F16" i="42"/>
  <c r="F14" i="42"/>
  <c r="X60" i="2"/>
  <c r="L95" i="2"/>
  <c r="L97" i="2"/>
  <c r="L98" i="2"/>
  <c r="L96" i="2"/>
  <c r="O28" i="42"/>
  <c r="K97" i="2"/>
  <c r="K96" i="2"/>
  <c r="K95" i="2"/>
  <c r="K98" i="2"/>
  <c r="C16" i="2" a="1"/>
  <c r="K12" i="2"/>
  <c r="C26" i="2" a="1"/>
  <c r="X47" i="2"/>
  <c r="N96" i="2"/>
  <c r="N97" i="2"/>
  <c r="N98" i="2"/>
  <c r="N95" i="2"/>
  <c r="O98" i="2"/>
  <c r="O96" i="2"/>
  <c r="O97" i="2"/>
  <c r="O95" i="2"/>
  <c r="M65" i="42" a="1"/>
  <c r="M65" i="42" s="1"/>
  <c r="M62" i="42" l="1" a="1"/>
  <c r="M62" i="42" s="1"/>
  <c r="N70" i="42"/>
  <c r="N62" i="42" a="1"/>
  <c r="N62" i="42" s="1"/>
  <c r="C31" i="2"/>
  <c r="C27" i="2"/>
  <c r="C26" i="2"/>
  <c r="C29" i="2"/>
  <c r="C32" i="2"/>
  <c r="C30" i="2"/>
  <c r="C28" i="2"/>
  <c r="C16" i="2"/>
  <c r="C17" i="2"/>
  <c r="C18" i="2"/>
  <c r="C21" i="2"/>
  <c r="C19" i="2"/>
  <c r="C20" i="2"/>
  <c r="C22" i="2"/>
  <c r="N71" i="42" l="1" a="1"/>
  <c r="N71" i="42" s="1"/>
  <c r="M71" i="42" a="1"/>
  <c r="M71" i="42" s="1"/>
  <c r="Q27" i="2"/>
  <c r="T27" i="2"/>
  <c r="E27" i="2"/>
  <c r="D27" i="2"/>
  <c r="S27" i="2"/>
  <c r="P27" i="2"/>
  <c r="R27" i="2"/>
  <c r="O21" i="2"/>
  <c r="K29" i="42" s="1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J16" i="2"/>
  <c r="K16" i="2" s="1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T83" i="42" l="1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T38" i="42"/>
  <c r="K93" i="42"/>
  <c r="O41" i="42"/>
  <c r="Q38" i="42"/>
  <c r="S82" i="42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S38" i="42"/>
  <c r="M29" i="42"/>
  <c r="R50" i="42"/>
  <c r="J82" i="42"/>
  <c r="K47" i="42"/>
  <c r="S29" i="42"/>
  <c r="T97" i="42"/>
  <c r="N29" i="42"/>
  <c r="R44" i="42"/>
  <c r="S44" i="42"/>
  <c r="Q82" i="42"/>
  <c r="R82" i="42"/>
  <c r="S79" i="42"/>
  <c r="K94" i="42"/>
  <c r="T96" i="42"/>
  <c r="S84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R79" i="42"/>
  <c r="O85" i="42"/>
  <c r="T78" i="42"/>
  <c r="M50" i="42"/>
  <c r="L83" i="42"/>
  <c r="P82" i="42"/>
  <c r="M44" i="42"/>
  <c r="S83" i="42"/>
  <c r="O97" i="42"/>
  <c r="O18" i="44" s="1"/>
  <c r="P44" i="42"/>
  <c r="N94" i="42"/>
  <c r="N15" i="44" s="1"/>
  <c r="K81" i="42"/>
  <c r="N95" i="42"/>
  <c r="N16" i="44" s="1"/>
  <c r="K38" i="42"/>
  <c r="Q84" i="42"/>
  <c r="R96" i="42"/>
  <c r="R17" i="44" s="1"/>
  <c r="J17" i="2"/>
  <c r="J27" i="2" s="1"/>
  <c r="K80" i="42"/>
  <c r="S96" i="42"/>
  <c r="S17" i="44" s="1"/>
  <c r="N93" i="42"/>
  <c r="N14" i="44" s="1"/>
  <c r="L80" i="42"/>
  <c r="N96" i="42"/>
  <c r="N17" i="44" s="1"/>
  <c r="M79" i="42"/>
  <c r="T41" i="42"/>
  <c r="M84" i="42"/>
  <c r="R41" i="42"/>
  <c r="T50" i="42"/>
  <c r="L47" i="42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Q50" i="42"/>
  <c r="P79" i="42"/>
  <c r="R80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O80" i="42"/>
  <c r="J26" i="2"/>
  <c r="T81" i="42"/>
  <c r="J94" i="42"/>
  <c r="K82" i="42"/>
  <c r="R85" i="42"/>
  <c r="J79" i="42"/>
  <c r="L79" i="42"/>
  <c r="K41" i="42"/>
  <c r="M85" i="42"/>
  <c r="T95" i="42"/>
  <c r="K79" i="42"/>
  <c r="T93" i="42"/>
  <c r="P50" i="42"/>
  <c r="O84" i="42"/>
  <c r="L38" i="42"/>
  <c r="T80" i="42"/>
  <c r="O81" i="42"/>
  <c r="Q41" i="42"/>
  <c r="Q81" i="42"/>
  <c r="Q83" i="42"/>
  <c r="L84" i="42"/>
  <c r="M80" i="42"/>
  <c r="M81" i="42"/>
  <c r="J84" i="42"/>
  <c r="R84" i="42"/>
  <c r="L95" i="42"/>
  <c r="K77" i="42"/>
  <c r="J95" i="42"/>
  <c r="K85" i="42"/>
  <c r="P95" i="42"/>
  <c r="P16" i="44" s="1"/>
  <c r="R95" i="42"/>
  <c r="R16" i="44" s="1"/>
  <c r="N38" i="42"/>
  <c r="S41" i="42"/>
  <c r="J50" i="42"/>
  <c r="T94" i="42"/>
  <c r="P38" i="42"/>
  <c r="J41" i="42"/>
  <c r="P84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L99" i="42" l="1"/>
  <c r="S52" i="42"/>
  <c r="S54" i="42" s="1"/>
  <c r="P52" i="42"/>
  <c r="P54" i="42" s="1"/>
  <c r="T99" i="42"/>
  <c r="M52" i="42"/>
  <c r="M54" i="42" s="1"/>
  <c r="Q52" i="42"/>
  <c r="R52" i="42"/>
  <c r="R54" i="42" s="1"/>
  <c r="K52" i="42"/>
  <c r="K54" i="42" s="1"/>
  <c r="N87" i="42"/>
  <c r="J99" i="42"/>
  <c r="O52" i="42"/>
  <c r="O54" i="42" s="1"/>
  <c r="J52" i="42"/>
  <c r="K99" i="42"/>
  <c r="N99" i="42"/>
  <c r="M99" i="42"/>
  <c r="M16" i="44"/>
  <c r="M87" i="42"/>
  <c r="J87" i="42"/>
  <c r="L87" i="42"/>
  <c r="K87" i="42"/>
  <c r="T87" i="42"/>
  <c r="J54" i="42" l="1"/>
  <c r="I71" i="55" l="1"/>
  <c r="V71" i="55" s="1"/>
  <c r="I72" i="55" l="1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I79" i="55"/>
  <c r="V79" i="55" s="1"/>
  <c r="V74" i="55" l="1"/>
  <c r="L12" i="2"/>
  <c r="I81" i="55"/>
  <c r="V81" i="55" s="1"/>
  <c r="I83" i="55"/>
  <c r="V83" i="55" s="1"/>
  <c r="I78" i="55"/>
  <c r="M12" i="2" s="1"/>
  <c r="L28" i="2" l="1"/>
  <c r="K18" i="2"/>
  <c r="L16" i="2"/>
  <c r="L17" i="2"/>
  <c r="M18" i="2"/>
  <c r="M28" i="2" s="1"/>
  <c r="M29" i="2"/>
  <c r="L19" i="2"/>
  <c r="I82" i="55"/>
  <c r="I77" i="55"/>
  <c r="V77" i="55" s="1"/>
  <c r="O12" i="2"/>
  <c r="V78" i="55"/>
  <c r="K19" i="2" l="1"/>
  <c r="L29" i="2"/>
  <c r="M17" i="2"/>
  <c r="L27" i="2"/>
  <c r="M16" i="2"/>
  <c r="L26" i="2"/>
  <c r="J18" i="2"/>
  <c r="J28" i="2" s="1"/>
  <c r="K28" i="2"/>
  <c r="V82" i="55"/>
  <c r="V1" i="55" s="1"/>
  <c r="G11" i="16" s="1"/>
  <c r="N12" i="2"/>
  <c r="N18" i="2" s="1"/>
  <c r="N21" i="2"/>
  <c r="O20" i="2"/>
  <c r="O30" i="2" s="1"/>
  <c r="O31" i="2"/>
  <c r="O18" i="2" l="1"/>
  <c r="O28" i="2" s="1"/>
  <c r="N28" i="2"/>
  <c r="M26" i="2"/>
  <c r="N16" i="2"/>
  <c r="M27" i="2"/>
  <c r="N17" i="2"/>
  <c r="N19" i="2"/>
  <c r="M20" i="2"/>
  <c r="N30" i="2"/>
  <c r="K29" i="2"/>
  <c r="J19" i="2"/>
  <c r="J29" i="2" s="1"/>
  <c r="N20" i="42"/>
  <c r="N13" i="42"/>
  <c r="N26" i="42" s="1"/>
  <c r="N31" i="2"/>
  <c r="M21" i="2"/>
  <c r="L20" i="2" l="1"/>
  <c r="M30" i="2"/>
  <c r="N29" i="2"/>
  <c r="O19" i="2"/>
  <c r="O29" i="2" s="1"/>
  <c r="O17" i="2"/>
  <c r="O27" i="2" s="1"/>
  <c r="N27" i="2"/>
  <c r="N26" i="2"/>
  <c r="O16" i="2"/>
  <c r="L31" i="42"/>
  <c r="M31" i="2"/>
  <c r="L21" i="2"/>
  <c r="M20" i="42"/>
  <c r="M13" i="42"/>
  <c r="M26" i="42" s="1"/>
  <c r="P17" i="42" l="1"/>
  <c r="N15" i="42"/>
  <c r="S17" i="42"/>
  <c r="J22" i="42"/>
  <c r="S22" i="42"/>
  <c r="T24" i="42"/>
  <c r="O24" i="42"/>
  <c r="O26" i="2"/>
  <c r="Q24" i="42"/>
  <c r="K15" i="42"/>
  <c r="R24" i="42"/>
  <c r="Q17" i="42"/>
  <c r="J24" i="42"/>
  <c r="T15" i="42"/>
  <c r="J17" i="42"/>
  <c r="L22" i="42"/>
  <c r="P15" i="42"/>
  <c r="S15" i="42"/>
  <c r="O17" i="42"/>
  <c r="K17" i="42"/>
  <c r="Q15" i="42"/>
  <c r="L15" i="42"/>
  <c r="M24" i="42"/>
  <c r="L24" i="42"/>
  <c r="R15" i="42"/>
  <c r="T22" i="42"/>
  <c r="R17" i="42"/>
  <c r="K24" i="42"/>
  <c r="T17" i="42"/>
  <c r="P24" i="42"/>
  <c r="J15" i="42"/>
  <c r="N24" i="42"/>
  <c r="O22" i="42"/>
  <c r="R22" i="42"/>
  <c r="M17" i="42"/>
  <c r="M15" i="42"/>
  <c r="N22" i="42"/>
  <c r="K22" i="42"/>
  <c r="N17" i="42"/>
  <c r="Q22" i="42"/>
  <c r="O15" i="42"/>
  <c r="L17" i="42"/>
  <c r="M22" i="42"/>
  <c r="P22" i="42"/>
  <c r="S24" i="42"/>
  <c r="K20" i="2"/>
  <c r="L30" i="2"/>
  <c r="L31" i="2"/>
  <c r="K21" i="2"/>
  <c r="L13" i="42"/>
  <c r="L26" i="42" s="1"/>
  <c r="L20" i="42"/>
  <c r="N31" i="42" l="1"/>
  <c r="J20" i="2"/>
  <c r="J30" i="2" s="1"/>
  <c r="K30" i="2"/>
  <c r="K13" i="42"/>
  <c r="K26" i="42" s="1"/>
  <c r="K20" i="42"/>
  <c r="K31" i="2"/>
  <c r="J21" i="2"/>
  <c r="J31" i="2" s="1"/>
  <c r="J13" i="42" l="1"/>
  <c r="J26" i="42" s="1"/>
  <c r="J20" i="42"/>
  <c r="N35" i="42" l="1"/>
  <c r="L35" i="42"/>
  <c r="L33" i="42"/>
  <c r="N33" i="42"/>
  <c r="L52" i="42" l="1"/>
  <c r="L54" i="42" s="1"/>
  <c r="N52" i="42"/>
  <c r="N54" i="42" l="1"/>
  <c r="M105" i="42" l="1"/>
  <c r="M13" i="44" s="1"/>
  <c r="N105" i="42"/>
  <c r="N13" i="44" s="1"/>
  <c r="M106" i="42"/>
  <c r="M107" i="42" s="1"/>
  <c r="N106" i="42"/>
  <c r="N107" i="42" s="1"/>
  <c r="P109" i="2" l="1"/>
  <c r="R109" i="2"/>
  <c r="S109" i="2"/>
  <c r="Q109" i="2"/>
  <c r="T109" i="2"/>
  <c r="X109" i="2" l="1"/>
  <c r="P77" i="42" l="1"/>
  <c r="O77" i="42"/>
  <c r="Q77" i="42" l="1"/>
  <c r="S77" i="42" l="1"/>
  <c r="R77" i="42"/>
  <c r="O78" i="42"/>
  <c r="O22" i="53"/>
  <c r="W12" i="53" l="1"/>
  <c r="P78" i="42"/>
  <c r="P87" i="42" s="1"/>
  <c r="P22" i="53"/>
  <c r="O87" i="42"/>
  <c r="Q78" i="42" l="1"/>
  <c r="Q87" i="42" s="1"/>
  <c r="Q22" i="53"/>
  <c r="R78" i="42" l="1"/>
  <c r="R87" i="42" s="1"/>
  <c r="R22" i="53"/>
  <c r="S78" i="42" l="1"/>
  <c r="S22" i="53"/>
  <c r="W22" i="53" s="1"/>
  <c r="W13" i="53"/>
  <c r="S87" i="42" l="1"/>
  <c r="P77" i="2" l="1"/>
  <c r="U77" i="2" l="1"/>
  <c r="R77" i="2" l="1"/>
  <c r="Q77" i="2"/>
  <c r="T77" i="2"/>
  <c r="S77" i="2" l="1"/>
  <c r="R78" i="2" l="1"/>
  <c r="T78" i="2"/>
  <c r="U78" i="2"/>
  <c r="Q78" i="2"/>
  <c r="S78" i="2"/>
  <c r="V42" i="58" l="1"/>
  <c r="V41" i="58"/>
  <c r="V52" i="58"/>
  <c r="M47" i="58" l="1"/>
  <c r="V37" i="58"/>
  <c r="M57" i="58"/>
  <c r="V51" i="58"/>
  <c r="S1" i="58" l="1"/>
  <c r="G12" i="16" s="1"/>
  <c r="P78" i="2" l="1"/>
  <c r="O73" i="2" l="1"/>
  <c r="P73" i="2" l="1"/>
  <c r="Q73" i="2" l="1"/>
  <c r="P96" i="2"/>
  <c r="P98" i="2"/>
  <c r="P101" i="2"/>
  <c r="P97" i="2"/>
  <c r="P99" i="2"/>
  <c r="P95" i="2"/>
  <c r="P100" i="2"/>
  <c r="Q80" i="2"/>
  <c r="Q96" i="2" l="1"/>
  <c r="Q100" i="2"/>
  <c r="Q95" i="2"/>
  <c r="Q97" i="2"/>
  <c r="Q99" i="2"/>
  <c r="Q98" i="2"/>
  <c r="Q101" i="2"/>
  <c r="R73" i="2"/>
  <c r="O61" i="42"/>
  <c r="R80" i="2"/>
  <c r="S80" i="2"/>
  <c r="S100" i="2" l="1"/>
  <c r="S97" i="2"/>
  <c r="S98" i="2"/>
  <c r="S96" i="2"/>
  <c r="S95" i="2"/>
  <c r="R61" i="42" s="1"/>
  <c r="R70" i="42" s="1"/>
  <c r="S99" i="2"/>
  <c r="S101" i="2"/>
  <c r="S73" i="2"/>
  <c r="R95" i="2"/>
  <c r="R96" i="2"/>
  <c r="R97" i="2"/>
  <c r="R99" i="2"/>
  <c r="R101" i="2"/>
  <c r="R100" i="2"/>
  <c r="R98" i="2"/>
  <c r="P61" i="42"/>
  <c r="P70" i="42" s="1"/>
  <c r="O62" i="42" a="1"/>
  <c r="O62" i="42" s="1"/>
  <c r="O70" i="42"/>
  <c r="T73" i="2"/>
  <c r="X73" i="2" s="1"/>
  <c r="T1" i="2" s="1"/>
  <c r="G13" i="16" s="1"/>
  <c r="P62" i="42" l="1" a="1"/>
  <c r="P62" i="42" s="1"/>
  <c r="T80" i="2"/>
  <c r="P71" i="42" a="1"/>
  <c r="P71" i="42" s="1"/>
  <c r="O71" i="42" a="1"/>
  <c r="O71" i="42" s="1"/>
  <c r="Q61" i="42"/>
  <c r="R62" i="42" s="1" a="1"/>
  <c r="R62" i="42" s="1"/>
  <c r="T96" i="2" l="1"/>
  <c r="T95" i="2"/>
  <c r="T99" i="2"/>
  <c r="T101" i="2"/>
  <c r="T98" i="2"/>
  <c r="T97" i="2"/>
  <c r="T100" i="2"/>
  <c r="Q70" i="42"/>
  <c r="Q62" i="42" a="1"/>
  <c r="Q62" i="42" s="1"/>
  <c r="O105" i="42"/>
  <c r="P105" i="42"/>
  <c r="P13" i="44" s="1"/>
  <c r="O13" i="44" l="1"/>
  <c r="Q71" i="42" a="1"/>
  <c r="Q71" i="42" s="1"/>
  <c r="R71" i="42" a="1"/>
  <c r="R71" i="42" s="1"/>
  <c r="S61" i="42"/>
  <c r="S70" i="42" l="1"/>
  <c r="S71" i="42" s="1" a="1"/>
  <c r="S71" i="42" s="1"/>
  <c r="S62" i="42" a="1"/>
  <c r="S62" i="42" s="1"/>
  <c r="R105" i="42"/>
  <c r="R13" i="44" s="1"/>
  <c r="Q105" i="42"/>
  <c r="S105" i="42" l="1"/>
  <c r="S13" i="44" s="1"/>
  <c r="Q13" i="44"/>
  <c r="O94" i="42" l="1"/>
  <c r="O15" i="44" s="1"/>
  <c r="P94" i="42" l="1"/>
  <c r="P15" i="44" s="1"/>
  <c r="Q94" i="42" l="1"/>
  <c r="Q15" i="44" s="1"/>
  <c r="S94" i="42"/>
  <c r="S15" i="44" s="1"/>
  <c r="R94" i="42"/>
  <c r="R15" i="44" s="1"/>
  <c r="W29" i="53" l="1"/>
  <c r="O42" i="53" l="1"/>
  <c r="P42" i="53" l="1"/>
  <c r="R42" i="53" l="1"/>
  <c r="Q42" i="53"/>
  <c r="S42" i="53" l="1"/>
  <c r="W42" i="53" s="1"/>
  <c r="Q34" i="53" l="1"/>
  <c r="Q93" i="42"/>
  <c r="R34" i="53"/>
  <c r="R93" i="42"/>
  <c r="P93" i="42"/>
  <c r="P34" i="53"/>
  <c r="S93" i="42"/>
  <c r="S34" i="53"/>
  <c r="S99" i="42" l="1"/>
  <c r="S106" i="42" s="1"/>
  <c r="S107" i="42" s="1"/>
  <c r="S14" i="44"/>
  <c r="P14" i="44"/>
  <c r="P99" i="42"/>
  <c r="P106" i="42" s="1"/>
  <c r="P107" i="42" s="1"/>
  <c r="R14" i="44"/>
  <c r="R99" i="42"/>
  <c r="R106" i="42" s="1"/>
  <c r="R107" i="42" s="1"/>
  <c r="Q99" i="42"/>
  <c r="Q106" i="42" s="1"/>
  <c r="Q107" i="42" s="1"/>
  <c r="Q14" i="44"/>
  <c r="O34" i="53" l="1"/>
  <c r="W34" i="53" s="1"/>
  <c r="O93" i="42"/>
  <c r="W28" i="53"/>
  <c r="S1" i="53" l="1"/>
  <c r="G14" i="16" s="1"/>
  <c r="S1" i="16" s="1"/>
  <c r="Y1" i="55" s="1"/>
  <c r="O14" i="44"/>
  <c r="O99" i="42"/>
  <c r="O106" i="42" s="1"/>
  <c r="O107" i="42" s="1"/>
  <c r="X1" i="2" l="1"/>
  <c r="W1" i="44"/>
  <c r="V1" i="54"/>
  <c r="V1" i="53"/>
  <c r="W1" i="42"/>
  <c r="V1" i="58"/>
  <c r="V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<sst xmlns="http://schemas.openxmlformats.org/spreadsheetml/2006/main" count="745" uniqueCount="229">
  <si>
    <t>AER opex model v2.4</t>
  </si>
  <si>
    <t>Index</t>
  </si>
  <si>
    <t>Model index</t>
  </si>
  <si>
    <t>Sheet Name</t>
  </si>
  <si>
    <t>Sheet Description</t>
  </si>
  <si>
    <t>Input | General</t>
  </si>
  <si>
    <t>Inputs NSP name, regulatory years for the current and forecast regulatory control periods etc.</t>
  </si>
  <si>
    <t>Input | Inflation</t>
  </si>
  <si>
    <t>Inputs inflation data.</t>
  </si>
  <si>
    <t>Input | Reported opex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</si>
  <si>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</si>
  <si>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Rate of change</t>
  </si>
  <si>
    <t>Inputs the inputs required to forecast input price growth, output growth and productivity growth.</t>
  </si>
  <si>
    <t>Input | Step changes</t>
  </si>
  <si>
    <t>Inputs step changes, category specific forecasts and debt raising costs.</t>
  </si>
  <si>
    <t>Calc | Opex Forecast</t>
  </si>
  <si>
    <t>Calculates the opex forecast.</t>
  </si>
  <si>
    <t>Output | Models</t>
  </si>
  <si>
    <t>Outputs the forecasts needed as a post tax revenue model inputs.</t>
  </si>
  <si>
    <t>Lookup | Tables</t>
  </si>
  <si>
    <t>Includes the lookup tables used within this opex model.</t>
  </si>
  <si>
    <t>Check | List</t>
  </si>
  <si>
    <t>Shows a summary of the checks from each sheet within the model</t>
  </si>
  <si>
    <t>End</t>
  </si>
  <si>
    <t>Back to Index</t>
  </si>
  <si>
    <t>Key:</t>
  </si>
  <si>
    <t>Input</t>
  </si>
  <si>
    <t>External Link</t>
  </si>
  <si>
    <t>Internal Link</t>
  </si>
  <si>
    <t>Worksheet check:</t>
  </si>
  <si>
    <t>Overall Check:</t>
  </si>
  <si>
    <t>Input | General inputs</t>
  </si>
  <si>
    <t>Inputs</t>
  </si>
  <si>
    <t>Source</t>
  </si>
  <si>
    <t>Value</t>
  </si>
  <si>
    <t>NSP name</t>
  </si>
  <si>
    <t>NSP</t>
  </si>
  <si>
    <t>Evoenergy gas networks</t>
  </si>
  <si>
    <t>Decision stage</t>
  </si>
  <si>
    <t>AER</t>
  </si>
  <si>
    <t>Revised proposal</t>
  </si>
  <si>
    <t>Year ending</t>
  </si>
  <si>
    <t>Current regulatory control period, first year</t>
  </si>
  <si>
    <t>Forecast base year</t>
  </si>
  <si>
    <t>Current regulatory control period, last year</t>
  </si>
  <si>
    <t>Forecast regulatory control period, first year</t>
  </si>
  <si>
    <t>Forecast regulatory control period, last year</t>
  </si>
  <si>
    <t>Units</t>
  </si>
  <si>
    <t>$millions</t>
  </si>
  <si>
    <t>Index value, new base</t>
  </si>
  <si>
    <t>Percentage Change from Corresponding Quarter of Previous Year</t>
  </si>
  <si>
    <t>Forecast annual CPI growth</t>
  </si>
  <si>
    <t>Forecast and actual index value</t>
  </si>
  <si>
    <t>ABS</t>
  </si>
  <si>
    <t>Calculated</t>
  </si>
  <si>
    <t>RBA</t>
  </si>
  <si>
    <t>Unit</t>
  </si>
  <si>
    <t>index</t>
  </si>
  <si>
    <t>Percent</t>
  </si>
  <si>
    <t/>
  </si>
  <si>
    <t>Basis</t>
  </si>
  <si>
    <t>Input | Approved forecast opex</t>
  </si>
  <si>
    <t>Cost category</t>
  </si>
  <si>
    <t>Notes</t>
  </si>
  <si>
    <t>Total opex</t>
  </si>
  <si>
    <t>AER PTRM for the current control period.</t>
  </si>
  <si>
    <t>Approved category specific forecasts</t>
  </si>
  <si>
    <t>UNFT</t>
  </si>
  <si>
    <t>Approved forecasts should be entered as positive values.</t>
  </si>
  <si>
    <t>EIL</t>
  </si>
  <si>
    <t>UAG</t>
  </si>
  <si>
    <t>Debt raising costs</t>
  </si>
  <si>
    <t>Total opex, categories forecast specifically</t>
  </si>
  <si>
    <t>Actual</t>
  </si>
  <si>
    <t>Estimate</t>
  </si>
  <si>
    <t>RIN</t>
  </si>
  <si>
    <t>nominal</t>
  </si>
  <si>
    <t>Annual RIN for each year and/or reset RIN.</t>
  </si>
  <si>
    <t>Categories of opex to be excluded from forecast opex (excluding category specific forecasts)</t>
  </si>
  <si>
    <t>Ancillary service opex</t>
  </si>
  <si>
    <t>These inputs should be entered as reported.</t>
  </si>
  <si>
    <t>Movements in provision</t>
  </si>
  <si>
    <t>Total opex to be trended</t>
  </si>
  <si>
    <t>Expenditure related to category specific forecasts</t>
  </si>
  <si>
    <t>Specific Forecasts - UAG</t>
  </si>
  <si>
    <t>These inputs should be entered as positive values.</t>
  </si>
  <si>
    <t>Specific Forecasts - Gov. levies</t>
  </si>
  <si>
    <t>Specific Forecasts - Debt raising costs</t>
  </si>
  <si>
    <t>Input | Adjustments</t>
  </si>
  <si>
    <t>Adjustment</t>
  </si>
  <si>
    <t>External</t>
  </si>
  <si>
    <t>Adjustments can be postive or negative.</t>
  </si>
  <si>
    <t>Non-recurrent efficiency gain in the base year</t>
  </si>
  <si>
    <t>Enter zero if no adjustment is required. Must match the EBSS.</t>
  </si>
  <si>
    <t>Efficiency adjustment</t>
  </si>
  <si>
    <t>Per cent</t>
  </si>
  <si>
    <t>Enter zero if no adjustment is required.</t>
  </si>
  <si>
    <t>Inflation</t>
  </si>
  <si>
    <t>calculated</t>
  </si>
  <si>
    <t>CPI indexes (real to real)</t>
  </si>
  <si>
    <t>CPI indexes (nominal to real)</t>
  </si>
  <si>
    <t>Input | Forecast price change</t>
  </si>
  <si>
    <t>Forecast price change</t>
  </si>
  <si>
    <t>WPI - Oxford Economics</t>
  </si>
  <si>
    <t>external</t>
  </si>
  <si>
    <t>WPI - Deloitte Access Economics</t>
  </si>
  <si>
    <t>WPI - Average</t>
  </si>
  <si>
    <t>CPI</t>
  </si>
  <si>
    <t>Check</t>
  </si>
  <si>
    <t>Ok/Check</t>
  </si>
  <si>
    <t>n/a</t>
  </si>
  <si>
    <t>Weights</t>
  </si>
  <si>
    <t>Input | Forecast output growth</t>
  </si>
  <si>
    <t>Output measure</t>
  </si>
  <si>
    <t>Energy throughput (GJ)</t>
  </si>
  <si>
    <t>number</t>
  </si>
  <si>
    <t>Customer numbers (#)</t>
  </si>
  <si>
    <t>Mains length (km)</t>
  </si>
  <si>
    <t>Growth rate</t>
  </si>
  <si>
    <t>Output weights</t>
  </si>
  <si>
    <t>AA (2016)</t>
  </si>
  <si>
    <t>EI (2019)</t>
  </si>
  <si>
    <t>AA (2022)</t>
  </si>
  <si>
    <t>CEG (2024)</t>
  </si>
  <si>
    <t>EI (2015)</t>
  </si>
  <si>
    <t>EI (2016)</t>
  </si>
  <si>
    <t>Forecast output growth</t>
  </si>
  <si>
    <t>Input | Forecast productivity</t>
  </si>
  <si>
    <t>Partial factor productivity</t>
  </si>
  <si>
    <t>CEG</t>
  </si>
  <si>
    <t>Input |Step changes</t>
  </si>
  <si>
    <t>Step change</t>
  </si>
  <si>
    <t>Safety control program</t>
  </si>
  <si>
    <t>Evoenergy</t>
  </si>
  <si>
    <t>Input | Category specifc forecasts</t>
  </si>
  <si>
    <t>Category specific forecasts</t>
  </si>
  <si>
    <t>Jurisdictional charges: UNFT</t>
  </si>
  <si>
    <t>Jurisdictional charges: EIL</t>
  </si>
  <si>
    <t>Input | Debt raising costs</t>
  </si>
  <si>
    <t>Debt Raising Costs</t>
  </si>
  <si>
    <t>PTRM</t>
  </si>
  <si>
    <t>Calc | Estimated final year expenditure</t>
  </si>
  <si>
    <t>Reported opex, total</t>
  </si>
  <si>
    <t>Inputs|Reported opex</t>
  </si>
  <si>
    <t>Approved forecast opex, base year, total</t>
  </si>
  <si>
    <t>Approved forecast opex, final year, total</t>
  </si>
  <si>
    <t>Reported opex, category specific forecasts</t>
  </si>
  <si>
    <t>Approved forecast opex, base year, category specific forecasts</t>
  </si>
  <si>
    <t>Approved forecast opex, final year, category specific forecasts</t>
  </si>
  <si>
    <t>Reported base year opex</t>
  </si>
  <si>
    <t>Add back non-recurrent efficiency gains in the base year</t>
  </si>
  <si>
    <t>Add estimated change in opex between the base year and the final year</t>
  </si>
  <si>
    <t>Estimated final year opex</t>
  </si>
  <si>
    <t>Remove estimated final year opex for categories forecast specifically</t>
  </si>
  <si>
    <t>Adjusted final year opex</t>
  </si>
  <si>
    <t>Calc | Rate of change</t>
  </si>
  <si>
    <t>Rate of change</t>
  </si>
  <si>
    <t>Forecast output change, year-on-year</t>
  </si>
  <si>
    <t>Forecast output change, cumulative</t>
  </si>
  <si>
    <t>Forecast price change, year-on-year</t>
  </si>
  <si>
    <t>Forecast price change, cumulative</t>
  </si>
  <si>
    <t>Forecast productivity change, year-on-year</t>
  </si>
  <si>
    <t>Forecast productivity change, cumulative</t>
  </si>
  <si>
    <t>Forecast rate of change, year-on-year</t>
  </si>
  <si>
    <t>Forecast rate of change, cumulative</t>
  </si>
  <si>
    <t>Calc | Step changes</t>
  </si>
  <si>
    <t>Step changes</t>
  </si>
  <si>
    <t>Total step changes</t>
  </si>
  <si>
    <t>Calc | Category specific forecasts</t>
  </si>
  <si>
    <t>Total category specific forecasts</t>
  </si>
  <si>
    <t>Calc | Total forecast operating expenditure</t>
  </si>
  <si>
    <t>Total forecast opex, excluding category specific forecasts</t>
  </si>
  <si>
    <t>Total forecast opex, excluding debt raising costs</t>
  </si>
  <si>
    <t>Total forecast opex, including debt raising costs</t>
  </si>
  <si>
    <t>Inputs for Post Tax Revenue Model</t>
  </si>
  <si>
    <t>Note. The dollar base should be consistent with the post tax revenue model</t>
  </si>
  <si>
    <t>Operating expenditure</t>
  </si>
  <si>
    <t>Calc | Opex forecast</t>
  </si>
  <si>
    <t>Stage</t>
  </si>
  <si>
    <t>Ref</t>
  </si>
  <si>
    <t>Pre-submission</t>
  </si>
  <si>
    <t>Network</t>
  </si>
  <si>
    <t>Proposal</t>
  </si>
  <si>
    <t>Draft decision</t>
  </si>
  <si>
    <t>Final decision</t>
  </si>
  <si>
    <t>Unit Denominations</t>
  </si>
  <si>
    <t>Dollars</t>
  </si>
  <si>
    <t>$dollars</t>
  </si>
  <si>
    <t>Thousands</t>
  </si>
  <si>
    <t>$000</t>
  </si>
  <si>
    <t>Millions</t>
  </si>
  <si>
    <t>unit</t>
  </si>
  <si>
    <t>Number</t>
  </si>
  <si>
    <t>Factor</t>
  </si>
  <si>
    <t>factor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</si>
  <si>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</si>
  <si>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</si>
  <si>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</si>
  <si>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</si>
  <si>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</si>
  <si>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</si>
  <si>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</si>
  <si>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</si>
  <si>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</si>
  <si>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</si>
  <si>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</si>
  <si>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</si>
  <si>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</si>
  <si>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</si>
  <si>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</si>
  <si>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</si>
  <si>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</si>
  <si>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Regulatory years</t>
  </si>
  <si>
    <t>Year</t>
  </si>
  <si>
    <t>Previous period year 0</t>
  </si>
  <si>
    <t>Previous period year 1</t>
  </si>
  <si>
    <t>Previous period year 2</t>
  </si>
  <si>
    <t>Previous period year 3</t>
  </si>
  <si>
    <t>Previous period year 4</t>
  </si>
  <si>
    <t>Previous period year 5</t>
  </si>
  <si>
    <t>Previous period year 6</t>
  </si>
  <si>
    <t>Forecast period year 1</t>
  </si>
  <si>
    <t>Forecast period year 2</t>
  </si>
  <si>
    <t>Forecast period year 3</t>
  </si>
  <si>
    <t>Forecast period year 4</t>
  </si>
  <si>
    <t>Forecast period year 5</t>
  </si>
  <si>
    <t>Check List</t>
  </si>
  <si>
    <t>Sheet</t>
  </si>
  <si>
    <t>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</si>
</sst>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dd\-mmm"/>
    <numFmt numFmtId="167" formatCode="dd/mmm"/>
    <numFmt numFmtId="168" formatCode="_(#,##0_);\(#,##0\);_(&quot;-&quot;_)"/>
    <numFmt numFmtId="169" formatCode="_(#,##0.00%_);\(#,##0.00%\);_(&quot;-&quot;_)"/>
    <numFmt numFmtId="170" formatCode="_(#,##0.000_);\(#,##0.000\);_(&quot;-&quot;_)"/>
    <numFmt numFmtId="171" formatCode="_(#,##0.00_);\(#,##0.00\);_(&quot;-&quot;_)"/>
    <numFmt numFmtId="172" formatCode="[$-C09]dd\-mmm\-yy;@"/>
    <numFmt numFmtId="173" formatCode="_-* #,##0.0000_-;\-* #,##0.0000_-;_-* &quot;-&quot;??_-;_-@_-"/>
    <numFmt numFmtId="174" formatCode="_(#,##0.0000_);\(#,##0.0000\);_(&quot;-&quot;_)"/>
    <numFmt numFmtId="175" formatCode="_-* #,##0.00_-;[Red]\(#,##0.00\)_-;_-* &quot;-&quot;??_-;_-@_-"/>
    <numFmt numFmtId="176" formatCode="mm/dd/yy"/>
    <numFmt numFmtId="177" formatCode="_([$€-2]* #,##0.00_);_([$€-2]* \(#,##0.00\);_([$€-2]* &quot;-&quot;??_)"/>
    <numFmt numFmtId="178" formatCode="0_);[Red]\(0\)"/>
    <numFmt numFmtId="179" formatCode="0.0%"/>
    <numFmt numFmtId="180" formatCode="_(* #,##0_);_(* \(#,##0\);_(* &quot;-&quot;?_);_(@_)"/>
    <numFmt numFmtId="181" formatCode="#,##0.0_);\(#,##0.0\)"/>
    <numFmt numFmtId="182" formatCode="#,##0_ ;\-#,##0\ "/>
    <numFmt numFmtId="183" formatCode="#,##0;[Red]\(#,##0.0\)"/>
    <numFmt numFmtId="184" formatCode="#,##0_ ;[Red]\(#,##0\)\ "/>
    <numFmt numFmtId="185" formatCode="#,##0.00;\(#,##0.00\)"/>
    <numFmt numFmtId="186" formatCode="_)d\-mmm\-yy_)"/>
    <numFmt numFmtId="187" formatCode="_(#,##0.0_);\(#,##0.0\);_(&quot;-&quot;_)"/>
    <numFmt numFmtId="188" formatCode="_(###0_);\(###0\);_(###0_)"/>
    <numFmt numFmtId="189" formatCode="#,##0.0000_);[Red]\(#,##0.0000\)"/>
    <numFmt numFmtId="190" formatCode="0.0"/>
    <numFmt numFmtId="191" formatCode=";;_(&quot;-&quot;_)"/>
    <numFmt numFmtId="192" formatCode="_-* #,##0.0_-;\-* #,##0.0_-;_-* &quot;-&quot;??_-;_-@_-"/>
    <numFmt numFmtId="193" formatCode="0.00;\-0.00;_(&quot;-&quot;_)"/>
    <numFmt numFmtId="194" formatCode="[$-C09]mmm\-yyyy;@"/>
    <numFmt numFmtId="195" formatCode="_-* #\ ##0.00_-;\-* #\ ##0.00_-;_-* &quot;-&quot;??_-;_-@_-"/>
    <numFmt numFmtId="196" formatCode="_(#\ ##0.00_);\(#\ ##0.00\);_(&quot;-&quot;_)"/>
    <numFmt numFmtId="197" formatCode="#\ ##0.00_ ;\-#\ ##0.00\ ;&quot;-&quot;"/>
    <numFmt numFmtId="198" formatCode="#\ ##0.00;\-#\ ##0.00;&quot;-&quot;"/>
    <numFmt numFmtId="199" formatCode="&quot;Warning&quot;;&quot;Warning&quot;;&quot;OK&quot;"/>
    <numFmt numFmtId="200" formatCode="mmmm"/>
    <numFmt numFmtId="201" formatCode="mmm\ yyyy"/>
    <numFmt numFmtId="202" formatCode="0.00_ ;\-0.00\ "/>
    <numFmt numFmtId="203" formatCode="0_ ;\-0\ "/>
    <numFmt numFmtId="204" formatCode="#,##0_);\(#,##0\);\-\-_)"/>
    <numFmt numFmtId="205" formatCode="0.0%;\–0.0%;&quot;–&quot;"/>
    <numFmt numFmtId="206" formatCode="#,##0.0_ ;\-#,##0.0\ "/>
    <numFmt numFmtId="207" formatCode="##\ ##0.00;\-##\ ##0.00;&quot;-&quot;"/>
    <numFmt numFmtId="208" formatCode="0.000%"/>
  </numFmts>
  <fonts count="95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6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67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68" fontId="15" fillId="0" borderId="5">
      <alignment horizontal="right" vertical="center"/>
      <protection locked="0"/>
    </xf>
    <xf numFmtId="43" fontId="1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5" fontId="15" fillId="0" borderId="0"/>
    <xf numFmtId="175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42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41" fontId="22" fillId="4" borderId="0" applyNumberFormat="0" applyFont="0" applyBorder="0" applyAlignment="0">
      <alignment horizontal="right"/>
    </xf>
    <xf numFmtId="41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41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77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79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41" fontId="22" fillId="36" borderId="0" applyFont="0" applyBorder="0" applyAlignment="0">
      <alignment horizontal="right"/>
      <protection locked="0"/>
    </xf>
    <xf numFmtId="41" fontId="22" fillId="36" borderId="0" applyFont="0" applyBorder="0" applyAlignment="0">
      <alignment horizontal="right"/>
      <protection locked="0"/>
    </xf>
    <xf numFmtId="180" fontId="22" fillId="6" borderId="0" applyFont="0" applyBorder="0">
      <alignment horizontal="right"/>
      <protection locked="0"/>
    </xf>
    <xf numFmtId="180" fontId="22" fillId="6" borderId="0" applyFont="0" applyBorder="0">
      <alignment horizontal="right"/>
      <protection locked="0"/>
    </xf>
    <xf numFmtId="41" fontId="22" fillId="10" borderId="0" applyFont="0" applyBorder="0">
      <alignment horizontal="right"/>
      <protection locked="0"/>
    </xf>
    <xf numFmtId="41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1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2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3" fontId="22" fillId="0" borderId="0" applyFill="0" applyBorder="0"/>
    <xf numFmtId="183" fontId="22" fillId="0" borderId="0" applyFill="0" applyBorder="0"/>
    <xf numFmtId="183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9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4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5" fontId="22" fillId="0" borderId="0"/>
    <xf numFmtId="185" fontId="22" fillId="0" borderId="0"/>
    <xf numFmtId="185" fontId="22" fillId="0" borderId="0"/>
    <xf numFmtId="186" fontId="15" fillId="0" borderId="0" applyFill="0" applyBorder="0">
      <alignment horizontal="right" vertical="center"/>
    </xf>
    <xf numFmtId="187" fontId="15" fillId="0" borderId="0" applyFill="0" applyBorder="0">
      <alignment horizontal="right" vertical="center"/>
    </xf>
    <xf numFmtId="188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1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89" fontId="22" fillId="0" borderId="7" applyBorder="0" applyProtection="0">
      <alignment horizontal="right"/>
    </xf>
    <xf numFmtId="189" fontId="22" fillId="0" borderId="7" applyBorder="0" applyProtection="0">
      <alignment horizontal="right"/>
    </xf>
    <xf numFmtId="189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6" fillId="42" borderId="0"/>
    <xf numFmtId="199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22" fillId="4" borderId="0" applyNumberFormat="0" applyFont="0" applyBorder="0" applyAlignment="0">
      <alignment horizontal="right"/>
    </xf>
    <xf numFmtId="41" fontId="22" fillId="4" borderId="0" applyNumberFormat="0" applyFont="0" applyBorder="0" applyAlignment="0">
      <alignment horizontal="right"/>
    </xf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1" fontId="22" fillId="36" borderId="0" applyFont="0" applyBorder="0" applyAlignment="0">
      <alignment horizontal="right"/>
      <protection locked="0"/>
    </xf>
    <xf numFmtId="41" fontId="22" fillId="36" borderId="0" applyFont="0" applyBorder="0" applyAlignment="0">
      <alignment horizontal="right"/>
      <protection locked="0"/>
    </xf>
    <xf numFmtId="41" fontId="22" fillId="10" borderId="0" applyFont="0" applyBorder="0">
      <alignment horizontal="right"/>
      <protection locked="0"/>
    </xf>
    <xf numFmtId="41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0" fontId="2" fillId="0" borderId="0"/>
    <xf numFmtId="43" fontId="93" fillId="0" borderId="0" applyFont="0" applyFill="0" applyBorder="0" applyAlignment="0" applyProtection="0"/>
    <xf numFmtId="0" fontId="93" fillId="0" borderId="0"/>
    <xf numFmtId="204" fontId="22" fillId="0" borderId="0" applyFill="0" applyBorder="0">
      <alignment vertical="center"/>
    </xf>
    <xf numFmtId="0" fontId="1" fillId="0" borderId="0"/>
  </cellStyleXfs>
  <cellXfs count="204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5" fontId="6" fillId="3" borderId="0" xfId="0" applyNumberFormat="1" applyFont="1" applyFill="1"/>
    <xf numFmtId="165" fontId="7" fillId="0" borderId="0" xfId="0" applyNumberFormat="1" applyFont="1"/>
    <xf numFmtId="165" fontId="6" fillId="0" borderId="0" xfId="0" applyNumberFormat="1" applyFont="1"/>
    <xf numFmtId="165" fontId="8" fillId="0" borderId="0" xfId="0" applyNumberFormat="1" applyFont="1"/>
    <xf numFmtId="165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5" fontId="12" fillId="0" borderId="0" xfId="0" applyNumberFormat="1" applyFont="1"/>
    <xf numFmtId="165" fontId="8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left" indent="1"/>
    </xf>
    <xf numFmtId="165" fontId="7" fillId="0" borderId="0" xfId="0" applyNumberFormat="1" applyFont="1" applyAlignment="1">
      <alignment horizontal="center"/>
    </xf>
    <xf numFmtId="165" fontId="0" fillId="0" borderId="0" xfId="0" applyNumberFormat="1"/>
    <xf numFmtId="43" fontId="12" fillId="0" borderId="6" xfId="0" applyNumberFormat="1" applyFont="1" applyBorder="1" applyAlignment="1">
      <alignment horizontal="center"/>
    </xf>
    <xf numFmtId="165" fontId="7" fillId="3" borderId="0" xfId="0" applyNumberFormat="1" applyFont="1" applyFill="1"/>
    <xf numFmtId="165" fontId="18" fillId="0" borderId="0" xfId="0" applyNumberFormat="1" applyFont="1" applyAlignment="1">
      <alignment horizontal="center"/>
    </xf>
    <xf numFmtId="165" fontId="7" fillId="3" borderId="0" xfId="0" applyNumberFormat="1" applyFont="1" applyFill="1" applyAlignment="1">
      <alignment horizontal="center"/>
    </xf>
    <xf numFmtId="171" fontId="12" fillId="0" borderId="0" xfId="5" applyNumberFormat="1" applyFont="1" applyBorder="1" applyAlignment="1" applyProtection="1">
      <alignment horizontal="center" vertical="center"/>
    </xf>
    <xf numFmtId="172" fontId="6" fillId="0" borderId="0" xfId="0" applyNumberFormat="1" applyFont="1"/>
    <xf numFmtId="165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43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44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6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5" fontId="18" fillId="0" borderId="0" xfId="0" applyNumberFormat="1" applyFont="1" applyAlignment="1">
      <alignment horizontal="center" wrapText="1"/>
    </xf>
    <xf numFmtId="190" fontId="6" fillId="41" borderId="3" xfId="0" applyNumberFormat="1" applyFont="1" applyFill="1" applyBorder="1" applyAlignment="1" applyProtection="1">
      <alignment horizontal="center"/>
      <protection locked="0"/>
    </xf>
    <xf numFmtId="194" fontId="6" fillId="0" borderId="0" xfId="0" applyNumberFormat="1" applyFont="1" applyAlignment="1">
      <alignment horizontal="left"/>
    </xf>
    <xf numFmtId="165" fontId="7" fillId="0" borderId="0" xfId="0" applyNumberFormat="1" applyFont="1" applyAlignment="1">
      <alignment horizontal="center" wrapText="1"/>
    </xf>
    <xf numFmtId="165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44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5" fontId="6" fillId="0" borderId="0" xfId="0" applyNumberFormat="1" applyFont="1" applyAlignment="1">
      <alignment horizontal="center"/>
    </xf>
    <xf numFmtId="165" fontId="17" fillId="0" borderId="0" xfId="3" applyNumberFormat="1" applyFont="1" applyFill="1" applyAlignment="1" applyProtection="1">
      <alignment horizontal="center"/>
    </xf>
    <xf numFmtId="195" fontId="6" fillId="0" borderId="0" xfId="0" applyNumberFormat="1" applyFont="1" applyAlignment="1">
      <alignment horizontal="center"/>
    </xf>
    <xf numFmtId="165" fontId="7" fillId="0" borderId="7" xfId="0" applyNumberFormat="1" applyFont="1" applyBorder="1" applyAlignment="1">
      <alignment horizontal="center"/>
    </xf>
    <xf numFmtId="165" fontId="8" fillId="0" borderId="8" xfId="0" applyNumberFormat="1" applyFont="1" applyBorder="1" applyAlignment="1">
      <alignment horizontal="left" indent="1"/>
    </xf>
    <xf numFmtId="165" fontId="7" fillId="0" borderId="8" xfId="0" applyNumberFormat="1" applyFont="1" applyBorder="1" applyAlignment="1">
      <alignment horizontal="center"/>
    </xf>
    <xf numFmtId="195" fontId="8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5" fontId="8" fillId="0" borderId="8" xfId="0" applyNumberFormat="1" applyFont="1" applyBorder="1"/>
    <xf numFmtId="173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left" indent="2"/>
    </xf>
    <xf numFmtId="165" fontId="18" fillId="0" borderId="8" xfId="0" applyNumberFormat="1" applyFont="1" applyBorder="1" applyAlignment="1">
      <alignment horizontal="center"/>
    </xf>
    <xf numFmtId="165" fontId="8" fillId="0" borderId="0" xfId="0" applyNumberFormat="1" applyFont="1" applyAlignment="1">
      <alignment horizontal="left" indent="1"/>
    </xf>
    <xf numFmtId="192" fontId="8" fillId="0" borderId="0" xfId="0" applyNumberFormat="1" applyFont="1" applyAlignment="1">
      <alignment horizontal="center"/>
    </xf>
    <xf numFmtId="198" fontId="6" fillId="0" borderId="0" xfId="0" applyNumberFormat="1" applyFont="1" applyAlignment="1">
      <alignment horizontal="center"/>
    </xf>
    <xf numFmtId="198" fontId="8" fillId="0" borderId="0" xfId="0" applyNumberFormat="1" applyFont="1" applyAlignment="1">
      <alignment horizontal="center"/>
    </xf>
    <xf numFmtId="43" fontId="12" fillId="0" borderId="3" xfId="0" applyNumberFormat="1" applyFont="1" applyBorder="1" applyAlignment="1">
      <alignment horizontal="center"/>
    </xf>
    <xf numFmtId="43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5" fontId="8" fillId="0" borderId="7" xfId="0" applyNumberFormat="1" applyFont="1" applyBorder="1"/>
    <xf numFmtId="165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3" fontId="6" fillId="0" borderId="0" xfId="0" applyNumberFormat="1" applyFont="1"/>
    <xf numFmtId="197" fontId="8" fillId="0" borderId="0" xfId="0" applyNumberFormat="1" applyFont="1" applyAlignment="1">
      <alignment horizontal="center"/>
    </xf>
    <xf numFmtId="165" fontId="6" fillId="0" borderId="0" xfId="0" applyNumberFormat="1" applyFont="1" applyProtection="1">
      <protection locked="0"/>
    </xf>
    <xf numFmtId="200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1" fontId="74" fillId="39" borderId="4" xfId="0" applyNumberFormat="1" applyFont="1" applyFill="1" applyBorder="1" applyAlignment="1">
      <alignment horizontal="center" wrapText="1"/>
    </xf>
    <xf numFmtId="201" fontId="91" fillId="38" borderId="2" xfId="0" applyNumberFormat="1" applyFont="1" applyFill="1" applyBorder="1" applyAlignment="1">
      <alignment horizontal="center"/>
    </xf>
    <xf numFmtId="201" fontId="74" fillId="38" borderId="2" xfId="0" applyNumberFormat="1" applyFont="1" applyFill="1" applyBorder="1" applyAlignment="1">
      <alignment horizontal="left"/>
    </xf>
    <xf numFmtId="201" fontId="6" fillId="0" borderId="0" xfId="0" applyNumberFormat="1" applyFont="1" applyAlignment="1">
      <alignment horizontal="left" indent="1"/>
    </xf>
    <xf numFmtId="201" fontId="7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1" fontId="18" fillId="0" borderId="0" xfId="0" applyNumberFormat="1" applyFont="1" applyAlignment="1">
      <alignment horizontal="center"/>
    </xf>
    <xf numFmtId="165" fontId="8" fillId="0" borderId="7" xfId="0" applyNumberFormat="1" applyFont="1" applyBorder="1" applyAlignment="1">
      <alignment horizontal="left" indent="1"/>
    </xf>
    <xf numFmtId="201" fontId="7" fillId="0" borderId="7" xfId="0" applyNumberFormat="1" applyFont="1" applyBorder="1" applyAlignment="1">
      <alignment horizontal="center"/>
    </xf>
    <xf numFmtId="202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1" fontId="6" fillId="0" borderId="3" xfId="0" applyNumberFormat="1" applyFont="1" applyBorder="1" applyAlignment="1" applyProtection="1">
      <alignment horizontal="center"/>
      <protection locked="0"/>
    </xf>
    <xf numFmtId="192" fontId="6" fillId="0" borderId="0" xfId="0" applyNumberFormat="1" applyFont="1" applyProtection="1">
      <protection locked="0"/>
    </xf>
    <xf numFmtId="192" fontId="8" fillId="0" borderId="0" xfId="0" applyNumberFormat="1" applyFont="1" applyProtection="1">
      <protection locked="0"/>
    </xf>
    <xf numFmtId="179" fontId="6" fillId="0" borderId="0" xfId="2" applyNumberFormat="1" applyFont="1" applyFill="1" applyBorder="1" applyAlignment="1" applyProtection="1">
      <alignment horizontal="center"/>
      <protection locked="0"/>
    </xf>
    <xf numFmtId="201" fontId="19" fillId="8" borderId="9" xfId="0" applyNumberFormat="1" applyFont="1" applyFill="1" applyBorder="1" applyAlignment="1" applyProtection="1">
      <alignment horizontal="center"/>
      <protection locked="0"/>
    </xf>
    <xf numFmtId="203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1" fontId="6" fillId="0" borderId="0" xfId="0" applyNumberFormat="1" applyFont="1" applyAlignment="1" applyProtection="1">
      <alignment horizontal="center"/>
      <protection locked="0"/>
    </xf>
    <xf numFmtId="192" fontId="20" fillId="0" borderId="0" xfId="0" applyNumberFormat="1" applyFont="1" applyProtection="1">
      <protection locked="0"/>
    </xf>
    <xf numFmtId="192" fontId="14" fillId="0" borderId="0" xfId="3" applyNumberFormat="1" applyProtection="1">
      <protection locked="0"/>
    </xf>
    <xf numFmtId="190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44" fontId="78" fillId="39" borderId="4" xfId="0" applyNumberFormat="1" applyFont="1" applyFill="1" applyBorder="1" applyAlignment="1">
      <alignment horizontal="center" wrapText="1"/>
    </xf>
    <xf numFmtId="165" fontId="75" fillId="0" borderId="0" xfId="0" applyNumberFormat="1" applyFont="1" applyAlignment="1">
      <alignment horizontal="center"/>
    </xf>
    <xf numFmtId="165" fontId="74" fillId="0" borderId="0" xfId="0" applyNumberFormat="1" applyFont="1" applyAlignment="1">
      <alignment horizontal="center"/>
    </xf>
    <xf numFmtId="165" fontId="23" fillId="0" borderId="0" xfId="0" applyNumberFormat="1" applyFont="1"/>
    <xf numFmtId="201" fontId="23" fillId="0" borderId="7" xfId="0" applyNumberFormat="1" applyFont="1" applyBorder="1" applyAlignment="1">
      <alignment horizontal="center"/>
    </xf>
    <xf numFmtId="165" fontId="23" fillId="0" borderId="7" xfId="0" applyNumberFormat="1" applyFont="1" applyBorder="1"/>
    <xf numFmtId="165" fontId="0" fillId="0" borderId="0" xfId="0" applyNumberFormat="1" applyAlignment="1">
      <alignment horizontal="left" indent="1"/>
    </xf>
    <xf numFmtId="171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1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5" fontId="23" fillId="0" borderId="4" xfId="0" applyNumberFormat="1" applyFont="1" applyBorder="1" applyAlignment="1">
      <alignment horizontal="left"/>
    </xf>
    <xf numFmtId="165" fontId="75" fillId="0" borderId="4" xfId="0" applyNumberFormat="1" applyFont="1" applyBorder="1" applyAlignment="1">
      <alignment horizontal="center"/>
    </xf>
    <xf numFmtId="201" fontId="75" fillId="0" borderId="4" xfId="0" applyNumberFormat="1" applyFont="1" applyBorder="1" applyAlignment="1">
      <alignment horizontal="center"/>
    </xf>
    <xf numFmtId="196" fontId="23" fillId="0" borderId="4" xfId="5" applyNumberFormat="1" applyFont="1" applyBorder="1" applyAlignment="1" applyProtection="1">
      <alignment horizontal="center" vertical="center"/>
    </xf>
    <xf numFmtId="201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43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1" fontId="23" fillId="0" borderId="0" xfId="0" applyNumberFormat="1" applyFont="1" applyAlignment="1">
      <alignment horizontal="center"/>
    </xf>
    <xf numFmtId="201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5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79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5" fontId="0" fillId="3" borderId="0" xfId="0" applyNumberFormat="1" applyFill="1"/>
    <xf numFmtId="165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5" fontId="23" fillId="0" borderId="0" xfId="0" applyNumberFormat="1" applyFont="1" applyAlignment="1">
      <alignment horizontal="center"/>
    </xf>
    <xf numFmtId="165" fontId="75" fillId="0" borderId="0" xfId="6" applyNumberFormat="1" applyFont="1" applyAlignment="1" applyProtection="1">
      <alignment horizontal="center"/>
    </xf>
    <xf numFmtId="169" fontId="0" fillId="0" borderId="0" xfId="2" applyNumberFormat="1" applyFont="1" applyFill="1" applyBorder="1" applyAlignment="1" applyProtection="1">
      <alignment horizontal="center" vertical="center"/>
    </xf>
    <xf numFmtId="174" fontId="0" fillId="0" borderId="0" xfId="5" applyNumberFormat="1" applyFont="1" applyBorder="1" applyAlignment="1" applyProtection="1">
      <alignment horizontal="center" vertical="center"/>
    </xf>
    <xf numFmtId="201" fontId="0" fillId="0" borderId="0" xfId="0" applyNumberFormat="1" applyAlignment="1">
      <alignment horizontal="left" indent="1"/>
    </xf>
    <xf numFmtId="170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3" fontId="0" fillId="0" borderId="0" xfId="0" applyNumberFormat="1"/>
    <xf numFmtId="165" fontId="75" fillId="0" borderId="0" xfId="0" applyNumberFormat="1" applyFont="1" applyAlignment="1" applyProtection="1">
      <alignment horizontal="center"/>
      <protection locked="0"/>
    </xf>
    <xf numFmtId="165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5" fontId="0" fillId="0" borderId="0" xfId="0" applyNumberFormat="1" applyAlignment="1">
      <alignment horizontal="left"/>
    </xf>
    <xf numFmtId="179" fontId="0" fillId="0" borderId="0" xfId="2" applyNumberFormat="1" applyFont="1" applyFill="1" applyAlignment="1" applyProtection="1">
      <alignment horizontal="center"/>
      <protection locked="0"/>
    </xf>
    <xf numFmtId="43" fontId="23" fillId="0" borderId="0" xfId="0" applyNumberFormat="1" applyFont="1" applyAlignment="1">
      <alignment horizontal="center"/>
    </xf>
    <xf numFmtId="171" fontId="0" fillId="0" borderId="0" xfId="5" applyNumberFormat="1" applyFont="1" applyBorder="1" applyAlignment="1" applyProtection="1">
      <alignment horizontal="center" vertical="center"/>
    </xf>
    <xf numFmtId="191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5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1" fontId="23" fillId="40" borderId="26" xfId="0" applyNumberFormat="1" applyFont="1" applyFill="1" applyBorder="1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179" fontId="0" fillId="0" borderId="0" xfId="2" applyNumberFormat="1" applyFont="1" applyAlignment="1" applyProtection="1">
      <alignment horizontal="center"/>
      <protection locked="0"/>
    </xf>
    <xf numFmtId="165" fontId="94" fillId="0" borderId="0" xfId="0" applyNumberFormat="1" applyFont="1" applyAlignment="1">
      <alignment horizontal="center"/>
    </xf>
    <xf numFmtId="10" fontId="0" fillId="0" borderId="0" xfId="2" applyNumberFormat="1" applyFont="1" applyFill="1" applyBorder="1" applyAlignment="1" applyProtection="1">
      <alignment horizontal="center"/>
    </xf>
    <xf numFmtId="44" fontId="74" fillId="39" borderId="4" xfId="0" applyNumberFormat="1" applyFont="1" applyFill="1" applyBorder="1" applyAlignment="1">
      <alignment horizontal="center" wrapText="1"/>
    </xf>
    <xf numFmtId="193" fontId="0" fillId="0" borderId="0" xfId="2" applyNumberFormat="1" applyFont="1" applyFill="1" applyBorder="1" applyAlignment="1" applyProtection="1">
      <alignment horizontal="center"/>
      <protection locked="0"/>
    </xf>
    <xf numFmtId="193" fontId="0" fillId="52" borderId="0" xfId="2" applyNumberFormat="1" applyFont="1" applyFill="1" applyBorder="1" applyAlignment="1" applyProtection="1">
      <alignment horizontal="center"/>
      <protection locked="0"/>
    </xf>
    <xf numFmtId="165" fontId="0" fillId="51" borderId="3" xfId="0" applyNumberFormat="1" applyFill="1" applyBorder="1" applyAlignment="1" applyProtection="1">
      <alignment horizontal="left" indent="1"/>
      <protection locked="0"/>
    </xf>
    <xf numFmtId="165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5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5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206" fontId="6" fillId="0" borderId="0" xfId="0" applyNumberFormat="1" applyFont="1" applyAlignment="1">
      <alignment horizontal="center"/>
    </xf>
    <xf numFmtId="190" fontId="6" fillId="53" borderId="3" xfId="0" applyNumberFormat="1" applyFont="1" applyFill="1" applyBorder="1" applyAlignment="1" applyProtection="1">
      <alignment horizontal="center"/>
      <protection locked="0"/>
    </xf>
    <xf numFmtId="205" fontId="0" fillId="41" borderId="3" xfId="2" applyNumberFormat="1" applyFont="1" applyFill="1" applyBorder="1" applyAlignment="1" applyProtection="1">
      <alignment horizontal="center"/>
      <protection locked="0"/>
    </xf>
    <xf numFmtId="43" fontId="0" fillId="0" borderId="0" xfId="6" applyFont="1" applyAlignment="1" applyProtection="1">
      <alignment horizontal="center"/>
      <protection locked="0"/>
    </xf>
    <xf numFmtId="10" fontId="0" fillId="0" borderId="0" xfId="2" applyNumberFormat="1" applyFont="1"/>
    <xf numFmtId="10" fontId="6" fillId="0" borderId="0" xfId="2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207" fontId="6" fillId="0" borderId="0" xfId="0" applyNumberFormat="1" applyFont="1" applyAlignment="1">
      <alignment horizontal="center"/>
    </xf>
    <xf numFmtId="164" fontId="6" fillId="0" borderId="0" xfId="0" applyNumberFormat="1" applyFont="1"/>
    <xf numFmtId="2" fontId="0" fillId="54" borderId="0" xfId="0" applyNumberFormat="1" applyFill="1" applyAlignment="1" applyProtection="1">
      <alignment horizontal="center"/>
      <protection locked="0"/>
    </xf>
    <xf numFmtId="165" fontId="0" fillId="55" borderId="0" xfId="0" applyNumberFormat="1" applyFill="1" applyAlignment="1" applyProtection="1">
      <alignment horizontal="center"/>
      <protection locked="0"/>
    </xf>
    <xf numFmtId="208" fontId="0" fillId="0" borderId="0" xfId="2" applyNumberFormat="1" applyFont="1" applyAlignment="1" applyProtection="1">
      <alignment horizontal="center"/>
    </xf>
    <xf numFmtId="192" fontId="6" fillId="0" borderId="0" xfId="0" applyNumberFormat="1" applyFont="1"/>
    <xf numFmtId="9" fontId="6" fillId="0" borderId="0" xfId="2" applyFont="1"/>
    <xf numFmtId="179" fontId="15" fillId="0" borderId="0" xfId="2" applyNumberFormat="1" applyFont="1" applyAlignment="1" applyProtection="1">
      <alignment horizontal="center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workbookViewId="0"/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0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2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3</v>
      </c>
      <c r="D6" s="9" t="s">
        <v>4</v>
      </c>
    </row>
    <row r="7" spans="1:30">
      <c r="C7" s="183" t="s">
        <v>5</v>
      </c>
      <c r="D7" s="8" t="s">
        <v>6</v>
      </c>
    </row>
    <row r="8" spans="1:30">
      <c r="C8" s="183" t="s">
        <v>7</v>
      </c>
      <c r="D8" s="8" t="s">
        <v>8</v>
      </c>
    </row>
    <row r="9" spans="1:30">
      <c r="C9" s="183" t="s">
        <v>9</v>
      </c>
      <c r="D9" s="8" t="s">
        <v>10</v>
      </c>
    </row>
    <row r="10" spans="1:30">
      <c r="C10" s="183" t="s">
        <v>11</v>
      </c>
      <c r="D10" s="8" t="s">
        <v>12</v>
      </c>
    </row>
    <row r="11" spans="1:30">
      <c r="C11" s="183" t="s">
        <v>13</v>
      </c>
      <c r="D11" s="8" t="s">
        <v>14</v>
      </c>
    </row>
    <row r="12" spans="1:30">
      <c r="C12" s="183" t="s">
        <v>15</v>
      </c>
      <c r="D12" s="8" t="s">
        <v>16</v>
      </c>
    </row>
    <row r="13" spans="1:30">
      <c r="C13" s="183" t="s">
        <v>17</v>
      </c>
      <c r="D13" s="8" t="s">
        <v>18</v>
      </c>
    </row>
    <row r="14" spans="1:30">
      <c r="C14" s="183" t="s">
        <v>19</v>
      </c>
      <c r="D14" s="8" t="s">
        <v>20</v>
      </c>
    </row>
    <row r="15" spans="1:30">
      <c r="C15" s="183" t="s">
        <v>21</v>
      </c>
      <c r="D15" s="8" t="s">
        <v>22</v>
      </c>
    </row>
    <row r="16" spans="1:30" ht="12.75">
      <c r="C16" s="10"/>
      <c r="D16" s="7"/>
    </row>
    <row r="17" spans="1:30" customFormat="1" ht="12.75">
      <c r="A17" s="32"/>
      <c r="B17" s="38" t="s">
        <v>23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24</v>
      </c>
      <c r="L1" s="28" t="s">
        <v>25</v>
      </c>
      <c r="M1" s="46" t="s">
        <v>26</v>
      </c>
      <c r="N1" s="11" t="s">
        <v>27</v>
      </c>
      <c r="O1" s="12" t="s">
        <v>28</v>
      </c>
      <c r="R1" s="185" t="s">
        <v>30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227</v>
      </c>
      <c r="D9" s="14" t="s">
        <v>33</v>
      </c>
      <c r="E9" s="14" t="s">
        <v>56</v>
      </c>
      <c r="F9" s="14"/>
      <c r="G9" s="14" t="s">
        <v>228</v>
      </c>
    </row>
    <row r="10" spans="1:30">
      <c r="C10" s="15" t="str">
        <f>Index!C7</f>
        <v>Input | General</v>
      </c>
      <c r="D10" s="186" t="str">
        <f>C10</f>
        <v>Input | General</v>
      </c>
      <c r="E10" s="16" t="s">
        <v>109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6" t="str">
        <f>C11</f>
        <v>Input | Inflation</v>
      </c>
      <c r="E11" s="16" t="s">
        <v>109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6" t="str">
        <f t="shared" ref="D12:D16" si="0">C12</f>
        <v>Input | Reported opex</v>
      </c>
      <c r="E12" s="16" t="s">
        <v>109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6" t="str">
        <f t="shared" si="0"/>
        <v>Input | Rate of change</v>
      </c>
      <c r="E13" s="16" t="s">
        <v>109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6" t="str">
        <f t="shared" si="0"/>
        <v>Input | Step changes</v>
      </c>
      <c r="E14" s="16" t="s">
        <v>109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86" t="str">
        <f t="shared" si="0"/>
        <v>Calc | Opex Forecast</v>
      </c>
      <c r="E15" s="16" t="s">
        <v>109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186" t="str">
        <f t="shared" si="0"/>
        <v>Output | Models</v>
      </c>
      <c r="E16" s="16" t="s">
        <v>109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23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>
      <selection activeCell="L13" sqref="L13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24</v>
      </c>
      <c r="L1" s="28" t="s">
        <v>25</v>
      </c>
      <c r="M1" s="46" t="s">
        <v>26</v>
      </c>
      <c r="N1" s="11" t="s">
        <v>27</v>
      </c>
      <c r="O1" s="12" t="s">
        <v>28</v>
      </c>
      <c r="R1" s="28" t="s">
        <v>29</v>
      </c>
      <c r="S1" s="29" t="str">
        <f>IF(COUNTA($S$5:$S$16)=COUNTIF($S5:$S17,"OK"),"OK","Check")</f>
        <v>OK</v>
      </c>
      <c r="U1" s="185" t="s">
        <v>30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31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32</v>
      </c>
      <c r="D6" s="20" t="s">
        <v>33</v>
      </c>
      <c r="E6" s="20"/>
      <c r="F6" s="14"/>
      <c r="G6" s="14" t="s">
        <v>34</v>
      </c>
      <c r="H6" s="14"/>
      <c r="I6" s="8"/>
    </row>
    <row r="7" spans="1:30">
      <c r="C7" s="8" t="s">
        <v>35</v>
      </c>
      <c r="D7" s="16" t="s">
        <v>36</v>
      </c>
      <c r="E7" s="8"/>
      <c r="F7" s="8"/>
      <c r="G7" s="39" t="s">
        <v>37</v>
      </c>
      <c r="H7" s="8"/>
      <c r="I7" s="8"/>
      <c r="S7" s="81" t="str">
        <f>IF(COUNTBLANK($G7),"Check","Ok")</f>
        <v>Ok</v>
      </c>
    </row>
    <row r="8" spans="1:30">
      <c r="C8" s="8" t="s">
        <v>38</v>
      </c>
      <c r="D8" s="16" t="s">
        <v>39</v>
      </c>
      <c r="E8" s="8"/>
      <c r="F8" s="8"/>
      <c r="G8" s="39" t="s">
        <v>40</v>
      </c>
      <c r="H8" s="8"/>
      <c r="I8" s="8"/>
      <c r="S8" s="81" t="str">
        <f>IF(COUNTBLANK($G8),"Check","Ok")</f>
        <v>Ok</v>
      </c>
    </row>
    <row r="9" spans="1:30">
      <c r="C9" s="8" t="s">
        <v>41</v>
      </c>
      <c r="D9" s="16" t="s">
        <v>36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42</v>
      </c>
      <c r="D10" s="16" t="s">
        <v>36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43</v>
      </c>
      <c r="D11" s="16" t="s">
        <v>36</v>
      </c>
      <c r="E11" s="8"/>
      <c r="F11" s="8"/>
      <c r="G11" s="93">
        <v>2024</v>
      </c>
      <c r="H11" s="8"/>
      <c r="I11" s="8"/>
      <c r="S11" s="81" t="str">
        <f t="shared" si="0"/>
        <v>Ok</v>
      </c>
    </row>
    <row r="12" spans="1:30">
      <c r="C12" s="8" t="s">
        <v>44</v>
      </c>
      <c r="D12" s="16" t="s">
        <v>36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45</v>
      </c>
      <c r="D13" s="16" t="s">
        <v>36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46</v>
      </c>
      <c r="D14" s="16" t="s">
        <v>36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47</v>
      </c>
      <c r="D15" s="16" t="s">
        <v>36</v>
      </c>
      <c r="E15" s="8"/>
      <c r="F15" s="8"/>
      <c r="G15" s="93" t="s">
        <v>48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23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1" priority="1" operator="equal">
      <formula>"Check"</formula>
    </cfRule>
    <cfRule type="cellIs" dxfId="160" priority="2" operator="equal">
      <formula>"Ok"</formula>
    </cfRule>
  </conditionalFormatting>
  <conditionalFormatting sqref="S7:S15">
    <cfRule type="cellIs" dxfId="159" priority="5" operator="equal">
      <formula>"Check"</formula>
    </cfRule>
    <cfRule type="cellIs" dxfId="158" priority="6" operator="equal">
      <formula>"Ok"</formula>
    </cfRule>
  </conditionalFormatting>
  <conditionalFormatting sqref="V1">
    <cfRule type="cellIs" dxfId="157" priority="3" operator="equal">
      <formula>"Check"</formula>
    </cfRule>
    <cfRule type="cellIs" dxfId="156" priority="4" operator="equal">
      <formula>"Ok"</formula>
    </cfRule>
  </conditionalFormatting>
  <conditionalFormatting sqref="W14:W16">
    <cfRule type="cellIs" dxfId="155" priority="13" operator="equal">
      <formula>"Check"</formula>
    </cfRule>
    <cfRule type="cellIs" dxfId="154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'Lookup|Tables'!$G$48:$G$68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topLeftCell="A60" workbookViewId="0">
      <selection activeCell="F81" sqref="F81:F82"/>
    </sheetView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4" t="s">
        <v>24</v>
      </c>
      <c r="O1" s="28" t="s">
        <v>25</v>
      </c>
      <c r="P1" s="46" t="s">
        <v>26</v>
      </c>
      <c r="Q1" s="11" t="s">
        <v>27</v>
      </c>
      <c r="R1" s="12" t="s">
        <v>28</v>
      </c>
      <c r="U1" s="28" t="s">
        <v>29</v>
      </c>
      <c r="V1" s="29" t="str">
        <f>IF(COUNTA($V$5:$V$89)=COUNTIF($V5:$V90,"OK"),"OK","Check")</f>
        <v>OK</v>
      </c>
      <c r="X1" s="185" t="s">
        <v>30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31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49</v>
      </c>
      <c r="E6" s="47" t="s">
        <v>50</v>
      </c>
      <c r="F6" s="47" t="s">
        <v>49</v>
      </c>
      <c r="G6" s="47" t="s">
        <v>51</v>
      </c>
      <c r="H6" s="47" t="s">
        <v>52</v>
      </c>
      <c r="I6" s="47" t="s">
        <v>50</v>
      </c>
      <c r="J6" s="47"/>
      <c r="K6" s="8"/>
      <c r="L6" s="8"/>
    </row>
    <row r="7" spans="1:33">
      <c r="C7" s="9" t="s">
        <v>33</v>
      </c>
      <c r="D7" s="50" t="s">
        <v>53</v>
      </c>
      <c r="E7" s="50" t="s">
        <v>54</v>
      </c>
      <c r="F7" s="50" t="s">
        <v>53</v>
      </c>
      <c r="G7" s="50" t="s">
        <v>55</v>
      </c>
      <c r="H7" s="50" t="s">
        <v>54</v>
      </c>
      <c r="I7" s="50" t="s">
        <v>54</v>
      </c>
      <c r="J7" s="50"/>
      <c r="K7" s="8"/>
      <c r="L7" s="8"/>
    </row>
    <row r="8" spans="1:33">
      <c r="C8" s="9" t="s">
        <v>56</v>
      </c>
      <c r="D8" s="50" t="s">
        <v>57</v>
      </c>
      <c r="E8" s="50" t="s">
        <v>58</v>
      </c>
      <c r="F8" s="50" t="s">
        <v>57</v>
      </c>
      <c r="G8" s="50" t="s">
        <v>58</v>
      </c>
      <c r="H8" s="50" t="s">
        <v>57</v>
      </c>
      <c r="I8" s="50" t="s">
        <v>58</v>
      </c>
      <c r="J8" s="50"/>
      <c r="K8" s="8"/>
      <c r="L8" s="8"/>
    </row>
    <row r="9" spans="1:33">
      <c r="C9" s="49">
        <v>39172</v>
      </c>
      <c r="D9" s="48">
        <v>155.6</v>
      </c>
      <c r="E9" s="8"/>
      <c r="F9" s="188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>
      <c r="C10" s="49">
        <v>39263</v>
      </c>
      <c r="D10" s="48">
        <v>157.5</v>
      </c>
      <c r="E10" s="8"/>
      <c r="F10" s="188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>
      <c r="C11" s="49">
        <v>39355</v>
      </c>
      <c r="D11" s="48">
        <v>158.6</v>
      </c>
      <c r="E11" s="8"/>
      <c r="F11" s="188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>
      <c r="C12" s="49">
        <v>39447</v>
      </c>
      <c r="D12" s="48">
        <v>160.1</v>
      </c>
      <c r="E12" s="8"/>
      <c r="F12" s="188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>
      <c r="C13" s="49">
        <v>39538</v>
      </c>
      <c r="D13" s="48">
        <v>162.19999999999999</v>
      </c>
      <c r="E13" s="72">
        <f>D13/D9-1</f>
        <v>4.2416452442159303E-2</v>
      </c>
      <c r="F13" s="188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>
      <c r="C14" s="49">
        <v>39629</v>
      </c>
      <c r="D14" s="48">
        <v>164.6</v>
      </c>
      <c r="E14" s="72">
        <f t="shared" ref="E14:E29" si="0">D14/D10-1</f>
        <v>4.5079365079365052E-2</v>
      </c>
      <c r="F14" s="188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>
      <c r="C15" s="49">
        <v>39721</v>
      </c>
      <c r="D15" s="48">
        <v>166.5</v>
      </c>
      <c r="E15" s="72">
        <f t="shared" si="0"/>
        <v>4.9810844892812067E-2</v>
      </c>
      <c r="F15" s="188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>
      <c r="C16" s="49">
        <v>39813</v>
      </c>
      <c r="D16" s="48">
        <v>166</v>
      </c>
      <c r="E16" s="72">
        <f t="shared" si="0"/>
        <v>3.6851967520299844E-2</v>
      </c>
      <c r="F16" s="188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>
      <c r="C17" s="49">
        <v>39903</v>
      </c>
      <c r="D17" s="48">
        <v>166.2</v>
      </c>
      <c r="E17" s="72">
        <f t="shared" si="0"/>
        <v>2.4660912453760897E-2</v>
      </c>
      <c r="F17" s="188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>
      <c r="C18" s="49">
        <v>39994</v>
      </c>
      <c r="D18" s="48">
        <v>167</v>
      </c>
      <c r="E18" s="72">
        <f t="shared" si="0"/>
        <v>1.4580801944106936E-2</v>
      </c>
      <c r="F18" s="188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>
      <c r="C19" s="49">
        <v>40086</v>
      </c>
      <c r="D19" s="48">
        <v>168.6</v>
      </c>
      <c r="E19" s="72">
        <f t="shared" si="0"/>
        <v>1.2612612612612484E-2</v>
      </c>
      <c r="F19" s="188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>
      <c r="C20" s="49">
        <v>40178</v>
      </c>
      <c r="D20" s="48">
        <v>169.5</v>
      </c>
      <c r="E20" s="72">
        <f t="shared" si="0"/>
        <v>2.108433734939763E-2</v>
      </c>
      <c r="F20" s="188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>
      <c r="C21" s="49">
        <v>40268</v>
      </c>
      <c r="D21" s="48">
        <v>171</v>
      </c>
      <c r="E21" s="72">
        <f t="shared" si="0"/>
        <v>2.8880866425992746E-2</v>
      </c>
      <c r="F21" s="189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>
      <c r="C22" s="49">
        <v>40359</v>
      </c>
      <c r="D22" s="48">
        <v>172.1</v>
      </c>
      <c r="E22" s="72">
        <f t="shared" si="0"/>
        <v>3.0538922155688653E-2</v>
      </c>
      <c r="F22" s="189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>
      <c r="C23" s="49">
        <v>40451</v>
      </c>
      <c r="D23" s="48">
        <v>173.3</v>
      </c>
      <c r="E23" s="72">
        <f t="shared" si="0"/>
        <v>2.7876631079478242E-2</v>
      </c>
      <c r="F23" s="189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>
      <c r="C24" s="49">
        <v>40543</v>
      </c>
      <c r="D24" s="48">
        <v>174</v>
      </c>
      <c r="E24" s="72">
        <f t="shared" si="0"/>
        <v>2.6548672566371723E-2</v>
      </c>
      <c r="F24" s="189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>
      <c r="C25" s="49">
        <v>40633</v>
      </c>
      <c r="D25" s="48">
        <v>176.7</v>
      </c>
      <c r="E25" s="72">
        <f t="shared" si="0"/>
        <v>3.3333333333333215E-2</v>
      </c>
      <c r="F25" s="189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>
      <c r="C26" s="49">
        <v>40724</v>
      </c>
      <c r="D26" s="48">
        <v>178.3</v>
      </c>
      <c r="E26" s="72">
        <f t="shared" si="0"/>
        <v>3.6025566531086683E-2</v>
      </c>
      <c r="F26" s="189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>
      <c r="C27" s="49">
        <v>40816</v>
      </c>
      <c r="D27" s="48">
        <v>179.4</v>
      </c>
      <c r="E27" s="72">
        <f t="shared" si="0"/>
        <v>3.5199076745527913E-2</v>
      </c>
      <c r="F27" s="189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>
      <c r="C28" s="49">
        <v>40908</v>
      </c>
      <c r="D28" s="48">
        <v>179.4</v>
      </c>
      <c r="E28" s="72">
        <f t="shared" si="0"/>
        <v>3.1034482758620641E-2</v>
      </c>
      <c r="F28" s="189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>
      <c r="C29" s="49">
        <v>40999</v>
      </c>
      <c r="D29" s="48">
        <v>179.5</v>
      </c>
      <c r="E29" s="72">
        <f t="shared" si="0"/>
        <v>1.5846066779853007E-2</v>
      </c>
      <c r="F29" s="189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>
      <c r="C30" s="49">
        <v>41090</v>
      </c>
      <c r="D30" s="8"/>
      <c r="E30" s="8"/>
      <c r="F30" s="189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>
      <c r="C31" s="49">
        <v>41182</v>
      </c>
      <c r="D31" s="8"/>
      <c r="E31" s="8"/>
      <c r="F31" s="189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>
      <c r="C32" s="49">
        <v>41274</v>
      </c>
      <c r="D32" s="8"/>
      <c r="E32" s="8"/>
      <c r="F32" s="189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>
      <c r="C33" s="49">
        <v>41364</v>
      </c>
      <c r="D33" s="8"/>
      <c r="E33" s="8"/>
      <c r="F33" s="189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>
      <c r="C34" s="49">
        <v>41455</v>
      </c>
      <c r="D34" s="8"/>
      <c r="E34" s="8"/>
      <c r="F34" s="189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>
      <c r="C35" s="49">
        <v>41547</v>
      </c>
      <c r="D35" s="8"/>
      <c r="E35" s="8"/>
      <c r="F35" s="189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>
      <c r="C36" s="49">
        <v>41639</v>
      </c>
      <c r="D36" s="8"/>
      <c r="E36" s="8"/>
      <c r="F36" s="189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>
      <c r="C37" s="49">
        <v>41729</v>
      </c>
      <c r="D37" s="8"/>
      <c r="E37" s="8"/>
      <c r="F37" s="189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>
      <c r="C38" s="49">
        <v>41820</v>
      </c>
      <c r="D38" s="8"/>
      <c r="E38" s="8"/>
      <c r="F38" s="189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>
      <c r="C39" s="49">
        <v>41912</v>
      </c>
      <c r="D39" s="8"/>
      <c r="E39" s="8"/>
      <c r="F39" s="189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>
      <c r="C40" s="49">
        <v>42004</v>
      </c>
      <c r="D40" s="8"/>
      <c r="E40" s="8"/>
      <c r="F40" s="189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>
      <c r="C41" s="49">
        <v>42094</v>
      </c>
      <c r="D41" s="8"/>
      <c r="E41" s="8"/>
      <c r="F41" s="189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>
      <c r="C42" s="49">
        <v>42185</v>
      </c>
      <c r="D42" s="8"/>
      <c r="E42" s="8"/>
      <c r="F42" s="189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>
      <c r="C43" s="49">
        <v>42277</v>
      </c>
      <c r="D43" s="8"/>
      <c r="E43" s="8"/>
      <c r="F43" s="189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>
      <c r="C44" s="49">
        <v>42369</v>
      </c>
      <c r="D44" s="8"/>
      <c r="E44" s="8"/>
      <c r="F44" s="189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>
      <c r="C45" s="49">
        <v>42460</v>
      </c>
      <c r="D45" s="8"/>
      <c r="E45" s="8"/>
      <c r="F45" s="189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>
      <c r="C46" s="49">
        <v>42551</v>
      </c>
      <c r="D46" s="8"/>
      <c r="E46" s="8"/>
      <c r="F46" s="189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>
      <c r="C47" s="49">
        <v>42643</v>
      </c>
      <c r="D47" s="8"/>
      <c r="E47" s="8"/>
      <c r="F47" s="189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>
      <c r="C48" s="49">
        <v>42735</v>
      </c>
      <c r="D48" s="8"/>
      <c r="E48" s="8"/>
      <c r="F48" s="189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>
      <c r="C49" s="49">
        <v>42825</v>
      </c>
      <c r="D49" s="8"/>
      <c r="E49" s="8"/>
      <c r="F49" s="189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>
      <c r="C50" s="49">
        <v>42916</v>
      </c>
      <c r="D50" s="8"/>
      <c r="E50" s="8"/>
      <c r="F50" s="189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>
      <c r="C51" s="49">
        <v>43008</v>
      </c>
      <c r="D51" s="8"/>
      <c r="E51" s="8"/>
      <c r="F51" s="189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>
      <c r="C52" s="49">
        <v>43100</v>
      </c>
      <c r="D52" s="8"/>
      <c r="E52" s="8"/>
      <c r="F52" s="189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>
      <c r="C53" s="49">
        <v>43190</v>
      </c>
      <c r="D53" s="8"/>
      <c r="E53" s="8"/>
      <c r="F53" s="189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>
      <c r="C54" s="49">
        <v>43281</v>
      </c>
      <c r="D54" s="8"/>
      <c r="E54" s="8"/>
      <c r="F54" s="189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>
      <c r="C55" s="49">
        <v>43373</v>
      </c>
      <c r="D55" s="8"/>
      <c r="E55" s="8"/>
      <c r="F55" s="189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>
      <c r="C56" s="49">
        <v>43465</v>
      </c>
      <c r="D56" s="8"/>
      <c r="E56" s="8"/>
      <c r="F56" s="189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>
      <c r="C57" s="49">
        <v>43555</v>
      </c>
      <c r="D57" s="8"/>
      <c r="E57" s="8"/>
      <c r="F57" s="189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>
      <c r="C58" s="49">
        <v>43646</v>
      </c>
      <c r="D58" s="8"/>
      <c r="E58" s="8"/>
      <c r="F58" s="189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>
      <c r="C59" s="49">
        <v>43738</v>
      </c>
      <c r="D59" s="8"/>
      <c r="E59" s="8"/>
      <c r="F59" s="189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>
      <c r="C60" s="49">
        <v>43830</v>
      </c>
      <c r="D60" s="8"/>
      <c r="E60" s="8"/>
      <c r="F60" s="189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>
      <c r="C61" s="49">
        <v>43921</v>
      </c>
      <c r="D61" s="8"/>
      <c r="E61" s="8"/>
      <c r="F61" s="189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>
      <c r="C62" s="49">
        <v>44012</v>
      </c>
      <c r="D62" s="8"/>
      <c r="E62" s="8"/>
      <c r="F62" s="189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>
      <c r="C63" s="49">
        <v>44104</v>
      </c>
      <c r="D63" s="8"/>
      <c r="E63" s="8"/>
      <c r="F63" s="189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>
      <c r="C64" s="49">
        <v>44196</v>
      </c>
      <c r="D64" s="8"/>
      <c r="E64" s="8"/>
      <c r="F64" s="189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>
      <c r="C65" s="49">
        <v>44286</v>
      </c>
      <c r="D65" s="8"/>
      <c r="E65" s="8"/>
      <c r="F65" s="189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>
      <c r="C66" s="49">
        <v>44377</v>
      </c>
      <c r="D66" s="8"/>
      <c r="E66" s="8"/>
      <c r="F66" s="189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>
      <c r="C67" s="49">
        <v>44469</v>
      </c>
      <c r="D67" s="8"/>
      <c r="E67" s="8"/>
      <c r="F67" s="189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>
      <c r="C68" s="49">
        <v>44561</v>
      </c>
      <c r="D68" s="8"/>
      <c r="E68" s="8"/>
      <c r="F68" s="189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>
      <c r="C69" s="49">
        <v>44651</v>
      </c>
      <c r="D69" s="8"/>
      <c r="E69" s="8"/>
      <c r="F69" s="189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>
      <c r="C70" s="49">
        <v>44742</v>
      </c>
      <c r="D70" s="8"/>
      <c r="E70" s="8"/>
      <c r="F70" s="189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>
      <c r="C71" s="49">
        <v>44834</v>
      </c>
      <c r="D71" s="8"/>
      <c r="E71" s="8"/>
      <c r="F71" s="189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>
      <c r="C72" s="49">
        <v>44926</v>
      </c>
      <c r="D72" s="8"/>
      <c r="E72" s="8"/>
      <c r="F72" s="189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>
      <c r="C73" s="49">
        <v>45016</v>
      </c>
      <c r="D73" s="8"/>
      <c r="E73" s="8"/>
      <c r="F73" s="189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>
      <c r="C74" s="49">
        <v>45107</v>
      </c>
      <c r="D74" s="8"/>
      <c r="E74" s="8"/>
      <c r="F74" s="189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2"/>
      <c r="K74" s="8"/>
      <c r="L74" s="8"/>
      <c r="V74" s="81" t="str">
        <f>IF(C74&gt;EOMONTH(DATE('Input|General'!$G$12,MONTH('Input|General'!$G$9),1),0),"Ok",IF(I74="","Check","Ok"))</f>
        <v>Ok</v>
      </c>
    </row>
    <row r="75" spans="3:22">
      <c r="C75" s="49">
        <v>45199</v>
      </c>
      <c r="D75" s="8"/>
      <c r="E75" s="8"/>
      <c r="F75" s="189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>
      <c r="C76" s="49">
        <v>45291</v>
      </c>
      <c r="D76" s="8"/>
      <c r="E76" s="8"/>
      <c r="F76" s="189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87"/>
      <c r="K76" s="8"/>
      <c r="L76" s="8"/>
      <c r="V76" s="81" t="str">
        <f>IF(C76&gt;EOMONTH(DATE('Input|General'!$G$12,MONTH('Input|General'!$G$9),1),0),"Ok",IF(I76="","Check","Ok"))</f>
        <v>Ok</v>
      </c>
    </row>
    <row r="77" spans="3:22">
      <c r="C77" s="49">
        <v>45382</v>
      </c>
      <c r="D77" s="8"/>
      <c r="E77" s="8"/>
      <c r="F77" s="189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>
      <c r="C78" s="49">
        <v>45473</v>
      </c>
      <c r="D78" s="8"/>
      <c r="E78" s="8"/>
      <c r="F78" s="189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87"/>
      <c r="K78" s="8"/>
      <c r="L78" s="8"/>
      <c r="V78" s="81" t="str">
        <f>IF(C78&gt;EOMONTH(DATE('Input|General'!$G$12,MONTH('Input|General'!$G$9),1),0),"Ok",IF(I78="","Check","Ok"))</f>
        <v>Ok</v>
      </c>
    </row>
    <row r="79" spans="3:22">
      <c r="C79" s="49">
        <v>45565</v>
      </c>
      <c r="D79" s="8"/>
      <c r="E79" s="8"/>
      <c r="F79" s="189">
        <v>139.1</v>
      </c>
      <c r="G79" s="110"/>
      <c r="H79" s="117">
        <f>IF(F79="",IF(COUNT(G79:G$88)=0,"",IF(ISBLANK(G79),AVERAGE(H78,H80),(1+G79)*H75)),F79)</f>
        <v>139.1</v>
      </c>
      <c r="I79" s="72">
        <f>IF(H79="","",H79/H75-1)</f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>
      <c r="C80" s="49">
        <v>45657</v>
      </c>
      <c r="D80" s="8"/>
      <c r="E80" s="8"/>
      <c r="F80" s="189">
        <v>139.4</v>
      </c>
      <c r="G80" s="110"/>
      <c r="H80" s="117">
        <f>IF(F80="",IF(COUNT(G80:G$88)=0,"",IF(ISBLANK(G80),AVERAGE(H79,H81),(1+G80)*H76)),F80)</f>
        <v>139.4</v>
      </c>
      <c r="I80" s="72">
        <f t="shared" ref="I80:I84" si="3">IF(H80="","",H80/H76-1)</f>
        <v>2.4246877296105973E-2</v>
      </c>
      <c r="J80" s="187"/>
      <c r="K80" s="8"/>
      <c r="L80" s="8"/>
      <c r="V80" s="81" t="str">
        <f>IF(C80&gt;EOMONTH(DATE('Input|General'!$G$12,MONTH('Input|General'!$G$9),1),0),"Ok",IF(I80="","Check","Ok"))</f>
        <v>Ok</v>
      </c>
    </row>
    <row r="81" spans="1:50">
      <c r="C81" s="49">
        <v>45747</v>
      </c>
      <c r="D81" s="8"/>
      <c r="E81" s="8"/>
      <c r="F81" s="189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>
      <c r="C82" s="49">
        <v>45838</v>
      </c>
      <c r="D82" s="8"/>
      <c r="E82" s="8"/>
      <c r="F82" s="189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3"/>
        <v>2.0893371757924939E-2</v>
      </c>
      <c r="J82" s="187"/>
      <c r="K82" s="8"/>
      <c r="L82" s="8"/>
      <c r="V82" s="81" t="str">
        <f>IF(C82&gt;EOMONTH(DATE('Input|General'!$G$12,MONTH('Input|General'!$G$9),1),0),"Ok",IF(I82="","Check","Ok"))</f>
        <v>Ok</v>
      </c>
    </row>
    <row r="83" spans="1:50">
      <c r="C83" s="49">
        <v>45930</v>
      </c>
      <c r="D83" s="8"/>
      <c r="E83" s="8"/>
      <c r="F83" s="189" t="s">
        <v>59</v>
      </c>
      <c r="G83" s="110"/>
      <c r="H83" s="117">
        <f>IF(F83="",IF(COUNT(G83:G$88)=0,"",IF(ISBLANK(G83),AVERAGE(H82,H84),(1+G83)*H79)),F83)</f>
        <v>142.64100000000002</v>
      </c>
      <c r="I83" s="72">
        <f t="shared" si="3"/>
        <v>2.5456506110711929E-2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>
      <c r="C84" s="49">
        <v>46022</v>
      </c>
      <c r="D84" s="8"/>
      <c r="E84" s="8"/>
      <c r="F84" s="189" t="s">
        <v>59</v>
      </c>
      <c r="G84" s="110">
        <v>0.03</v>
      </c>
      <c r="H84" s="117">
        <f>IF(F84="",IF(COUNT(G84:G$88)=0,"",IF(ISBLANK(G84),AVERAGE(H83,H85),(1+G84)*H80)),F84)</f>
        <v>143.58200000000002</v>
      </c>
      <c r="I84" s="72">
        <f t="shared" si="3"/>
        <v>3.0000000000000027E-2</v>
      </c>
      <c r="J84" s="187"/>
      <c r="K84" s="8"/>
      <c r="L84" s="8"/>
      <c r="V84" s="81" t="str">
        <f>IF(C84&gt;EOMONTH(DATE('Input|General'!$G$12,MONTH('Input|General'!$G$9),1),0),"Ok",IF(I84="","Check","Ok"))</f>
        <v>Ok</v>
      </c>
    </row>
    <row r="85" spans="1:50">
      <c r="C85" s="49">
        <v>46112</v>
      </c>
      <c r="D85" s="8"/>
      <c r="E85" s="8"/>
      <c r="F85" s="189" t="s">
        <v>59</v>
      </c>
      <c r="G85" s="110"/>
      <c r="H85" s="117">
        <f>IF(F85="",IF(COUNT(G85:G$88)=0,"",IF(ISBLANK(G85),AVERAGE(H84,H86),(1+G85)*H81)),F85)</f>
        <v>144.83735000000001</v>
      </c>
      <c r="I85" s="72">
        <f t="shared" ref="I85:I88" si="4">IF(H85="","",H85/H81-1)</f>
        <v>2.9405472636816032E-2</v>
      </c>
      <c r="J85" s="187"/>
      <c r="K85" s="8"/>
      <c r="L85" s="8"/>
      <c r="V85" s="81" t="str">
        <f>IF(C85&gt;EOMONTH(DATE('Input|General'!$G$12,MONTH('Input|General'!$G$9),1),0),"Ok",IF(I85="","Check","Ok"))</f>
        <v>Ok</v>
      </c>
    </row>
    <row r="86" spans="1:50">
      <c r="C86" s="49">
        <v>46203</v>
      </c>
      <c r="D86" s="8"/>
      <c r="E86" s="8"/>
      <c r="F86" s="189" t="s">
        <v>59</v>
      </c>
      <c r="G86" s="110">
        <v>3.1E-2</v>
      </c>
      <c r="H86" s="117">
        <f>IF(F86="",IF(COUNT(G86:G$88)=0,"",IF(ISBLANK(G86),AVERAGE(H85,H87),(1+G86)*H82)),F86)</f>
        <v>146.09269999999998</v>
      </c>
      <c r="I86" s="72">
        <f t="shared" si="4"/>
        <v>3.0999999999999917E-2</v>
      </c>
      <c r="J86" s="187"/>
      <c r="K86" s="8"/>
      <c r="L86" s="8"/>
      <c r="V86" s="81" t="str">
        <f>IF(C86&gt;EOMONTH(DATE('Input|General'!$G$12,MONTH('Input|General'!$G$9),1),0),"Ok",IF(I86="","Check","Ok"))</f>
        <v>Ok</v>
      </c>
    </row>
    <row r="87" spans="1:50">
      <c r="C87" s="49">
        <v>46295</v>
      </c>
      <c r="D87" s="8"/>
      <c r="E87" s="8"/>
      <c r="F87" s="189" t="s">
        <v>59</v>
      </c>
      <c r="G87" s="110"/>
      <c r="H87" s="117">
        <f>IF(F87="",IF(COUNT(G87:G$88)=0,"",IF(ISBLANK(G87),AVERAGE(H86,H88),(1+G87)*H83)),F87)</f>
        <v>146.91928899999999</v>
      </c>
      <c r="I87" s="72">
        <f t="shared" si="4"/>
        <v>2.9993403018767184E-2</v>
      </c>
      <c r="J87" s="187"/>
      <c r="K87" s="8"/>
      <c r="L87" s="8"/>
      <c r="V87" s="81" t="str">
        <f>IF(C87&gt;EOMONTH(DATE('Input|General'!$G$12,MONTH('Input|General'!$G$9),1),0),"Ok",IF(I87="","Check","Ok"))</f>
        <v>Ok</v>
      </c>
    </row>
    <row r="88" spans="1:50">
      <c r="C88" s="49">
        <v>46387</v>
      </c>
      <c r="D88" s="8"/>
      <c r="E88" s="8"/>
      <c r="F88" s="189" t="s">
        <v>59</v>
      </c>
      <c r="G88" s="110">
        <v>2.9000000000000001E-2</v>
      </c>
      <c r="H88" s="117">
        <f>IF(F88="",IF(COUNT(G88:G$88)=0,"",IF(ISBLANK(G88),AVERAGE(H87,H89),(1+G88)*H84)),F88)</f>
        <v>147.745878</v>
      </c>
      <c r="I88" s="72">
        <f t="shared" si="4"/>
        <v>2.8999999999999915E-2</v>
      </c>
      <c r="J88" s="187"/>
      <c r="K88" s="8"/>
      <c r="L88" s="8"/>
      <c r="V88" s="81" t="str">
        <f>IF(C88&gt;EOMONTH(DATE('Input|General'!$G$12,MONTH('Input|General'!$G$9),1),0),"Ok",IF(I88="","Check","Ok"))</f>
        <v>Ok</v>
      </c>
    </row>
    <row r="89" spans="1:50"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23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idden="1">
      <c r="J91" s="20"/>
      <c r="K91" s="20"/>
    </row>
    <row r="92" spans="1:50" hidden="1">
      <c r="J92" s="20"/>
      <c r="K92" s="20"/>
    </row>
    <row r="93" spans="1:50" s="16" customFormat="1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53" priority="1">
      <formula>F21=""</formula>
    </cfRule>
  </conditionalFormatting>
  <conditionalFormatting sqref="V1">
    <cfRule type="cellIs" dxfId="152" priority="6" operator="equal">
      <formula>"Check"</formula>
    </cfRule>
    <cfRule type="cellIs" dxfId="151" priority="7" operator="equal">
      <formula>"Ok"</formula>
    </cfRule>
  </conditionalFormatting>
  <conditionalFormatting sqref="V9:V88">
    <cfRule type="cellIs" dxfId="150" priority="12" operator="equal">
      <formula>"Check"</formula>
    </cfRule>
    <cfRule type="cellIs" dxfId="149" priority="13" operator="equal">
      <formula>"Ok"</formula>
    </cfRule>
  </conditionalFormatting>
  <conditionalFormatting sqref="Y1">
    <cfRule type="cellIs" dxfId="148" priority="8" operator="equal">
      <formula>"Check"</formula>
    </cfRule>
    <cfRule type="cellIs" dxfId="147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topLeftCell="A34" zoomScaleNormal="100" workbookViewId="0">
      <selection activeCell="Q44" sqref="Q44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4" t="s">
        <v>24</v>
      </c>
      <c r="K1" s="27"/>
      <c r="L1" s="28" t="s">
        <v>25</v>
      </c>
      <c r="M1" s="46" t="s">
        <v>26</v>
      </c>
      <c r="N1" s="11" t="s">
        <v>27</v>
      </c>
      <c r="O1" s="12" t="s">
        <v>28</v>
      </c>
      <c r="P1" s="27"/>
      <c r="Q1" s="27"/>
      <c r="R1" s="28" t="s">
        <v>29</v>
      </c>
      <c r="S1" s="29" t="str">
        <f>IF(COUNTA($V$8:$V$73)=COUNTIF($V$8:$V$73,"OK"),"OK","Check")</f>
        <v>OK</v>
      </c>
      <c r="T1" s="29"/>
      <c r="U1" s="185" t="s">
        <v>30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41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33</v>
      </c>
      <c r="E4" s="56" t="s">
        <v>56</v>
      </c>
      <c r="F4" s="57" t="s">
        <v>60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61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62</v>
      </c>
      <c r="D10" s="121" t="s">
        <v>33</v>
      </c>
      <c r="E10" s="121" t="s">
        <v>56</v>
      </c>
      <c r="F10" s="121" t="s">
        <v>60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63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64</v>
      </c>
      <c r="D13" s="120" t="s">
        <v>39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32.938395417771787</v>
      </c>
      <c r="K13" s="129">
        <v>34.295178628824679</v>
      </c>
      <c r="L13" s="129">
        <v>33.67155900280131</v>
      </c>
      <c r="M13" s="129">
        <v>34.453166775786144</v>
      </c>
      <c r="N13" s="129">
        <v>35.61288094713656</v>
      </c>
      <c r="O13" s="129"/>
      <c r="P13" s="129"/>
      <c r="Q13" s="129"/>
      <c r="R13" s="129"/>
      <c r="S13" s="129"/>
      <c r="T13" s="129"/>
      <c r="U13" s="17" t="s">
        <v>65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64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32.938395417771787</v>
      </c>
      <c r="K15" s="133">
        <f t="shared" ref="K15:S15" si="1">K13</f>
        <v>34.295178628824679</v>
      </c>
      <c r="L15" s="133">
        <f t="shared" si="1"/>
        <v>33.67155900280131</v>
      </c>
      <c r="M15" s="133">
        <f t="shared" si="1"/>
        <v>34.453166775786144</v>
      </c>
      <c r="N15" s="133">
        <f t="shared" si="1"/>
        <v>35.61288094713656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66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67</v>
      </c>
      <c r="D19" s="120" t="s">
        <v>39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8.539676536851541</v>
      </c>
      <c r="K19" s="129">
        <v>8.7941967380838797</v>
      </c>
      <c r="L19" s="129">
        <v>9.0540574176574502</v>
      </c>
      <c r="M19" s="129">
        <v>9.3205152431005587</v>
      </c>
      <c r="N19" s="129">
        <v>9.588752126449819</v>
      </c>
      <c r="O19" s="129"/>
      <c r="P19" s="129"/>
      <c r="Q19" s="129"/>
      <c r="R19" s="129"/>
      <c r="S19" s="129"/>
      <c r="T19" s="129"/>
      <c r="U19" s="17" t="s">
        <v>68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69</v>
      </c>
      <c r="D20" s="120" t="s">
        <v>39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0.69586688956070597</v>
      </c>
      <c r="K20" s="129">
        <v>0.67054560890370007</v>
      </c>
      <c r="L20" s="129">
        <v>0.6398357854194141</v>
      </c>
      <c r="M20" s="129">
        <v>0.61094521140229596</v>
      </c>
      <c r="N20" s="129">
        <v>0.58447495504957803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 t="s">
        <v>70</v>
      </c>
      <c r="D21" s="120" t="s">
        <v>39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>
        <v>1.43841886942324</v>
      </c>
      <c r="K21" s="129">
        <v>1.9785489116772699</v>
      </c>
      <c r="L21" s="129">
        <v>1.9434538705483702</v>
      </c>
      <c r="M21" s="129">
        <v>2.02417823206904</v>
      </c>
      <c r="N21" s="129">
        <v>2.07750340304632</v>
      </c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 t="s">
        <v>71</v>
      </c>
      <c r="D22" s="120" t="s">
        <v>39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>
        <v>0.19406224897389801</v>
      </c>
      <c r="K22" s="129">
        <v>0.19390981070503602</v>
      </c>
      <c r="L22" s="129">
        <v>0.193195972411876</v>
      </c>
      <c r="M22" s="129">
        <v>0.19071048726845399</v>
      </c>
      <c r="N22" s="129">
        <v>0.18729142428353698</v>
      </c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39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39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39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39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39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72</v>
      </c>
      <c r="D29" s="131" t="s">
        <v>54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10.868024544809385</v>
      </c>
      <c r="K29" s="133">
        <f t="shared" ref="K29:S29" si="5">SUM(K19:K27)</f>
        <v>11.637201069369885</v>
      </c>
      <c r="L29" s="133">
        <f t="shared" si="5"/>
        <v>11.830543046037112</v>
      </c>
      <c r="M29" s="133">
        <f t="shared" si="5"/>
        <v>12.146349173840349</v>
      </c>
      <c r="N29" s="133">
        <f t="shared" si="5"/>
        <v>12.438021908829253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9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73</v>
      </c>
      <c r="K33" s="129" t="s">
        <v>73</v>
      </c>
      <c r="L33" s="129" t="s">
        <v>73</v>
      </c>
      <c r="M33" s="129" t="s">
        <v>73</v>
      </c>
      <c r="N33" s="129" t="s">
        <v>74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62</v>
      </c>
      <c r="D34" s="121" t="s">
        <v>33</v>
      </c>
      <c r="E34" s="121" t="s">
        <v>56</v>
      </c>
      <c r="F34" s="121" t="s">
        <v>60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63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64</v>
      </c>
      <c r="D37" s="120" t="s">
        <v>75</v>
      </c>
      <c r="E37" s="120" t="str">
        <f>units</f>
        <v>$millions</v>
      </c>
      <c r="F37" s="134" t="s">
        <v>76</v>
      </c>
      <c r="G37" s="121"/>
      <c r="H37" s="121"/>
      <c r="I37" s="120"/>
      <c r="J37" s="129">
        <v>29.933382999999999</v>
      </c>
      <c r="K37" s="129">
        <v>31.606812000000001</v>
      </c>
      <c r="L37" s="129">
        <v>34.649613000000002</v>
      </c>
      <c r="M37" s="197">
        <v>38.435409</v>
      </c>
      <c r="N37" s="129">
        <v>39.199711071283787</v>
      </c>
      <c r="O37" s="129"/>
      <c r="P37" s="129"/>
      <c r="Q37" s="129"/>
      <c r="R37" s="129"/>
      <c r="S37" s="129"/>
      <c r="T37" s="129"/>
      <c r="U37" s="17" t="s">
        <v>77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78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79</v>
      </c>
      <c r="D41" s="120" t="s">
        <v>75</v>
      </c>
      <c r="E41" s="120" t="str">
        <f>units</f>
        <v>$millions</v>
      </c>
      <c r="F41" s="134" t="s">
        <v>76</v>
      </c>
      <c r="G41" s="121"/>
      <c r="H41" s="121"/>
      <c r="I41" s="120"/>
      <c r="J41" s="129">
        <v>1.218367</v>
      </c>
      <c r="K41" s="129">
        <v>1.6372165700000001</v>
      </c>
      <c r="L41" s="129">
        <v>1.779399</v>
      </c>
      <c r="M41" s="129">
        <v>1.835486</v>
      </c>
      <c r="N41" s="129">
        <v>1.7614671931627561</v>
      </c>
      <c r="O41" s="129"/>
      <c r="P41" s="129"/>
      <c r="Q41" s="129"/>
      <c r="R41" s="129"/>
      <c r="S41" s="129"/>
      <c r="T41" s="129"/>
      <c r="U41" s="17" t="s">
        <v>80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81</v>
      </c>
      <c r="D42" s="120" t="s">
        <v>75</v>
      </c>
      <c r="E42" s="120" t="str">
        <f>units</f>
        <v>$millions</v>
      </c>
      <c r="F42" s="134" t="s">
        <v>76</v>
      </c>
      <c r="G42" s="121"/>
      <c r="H42" s="121"/>
      <c r="I42" s="120"/>
      <c r="J42" s="129">
        <v>-6.391E-3</v>
      </c>
      <c r="K42" s="129">
        <v>-1.4916E-2</v>
      </c>
      <c r="L42" s="129">
        <v>8.4960000000000001E-3</v>
      </c>
      <c r="M42" s="129">
        <v>3.8089999999999999E-3</v>
      </c>
      <c r="N42" s="129"/>
      <c r="O42" s="129"/>
      <c r="P42" s="129"/>
      <c r="Q42" s="129"/>
      <c r="R42" s="129"/>
      <c r="S42" s="129"/>
      <c r="T42" s="129"/>
      <c r="U42" s="17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/>
      <c r="D43" s="120" t="s">
        <v>75</v>
      </c>
      <c r="E43" s="120" t="str">
        <f>units</f>
        <v>$millions</v>
      </c>
      <c r="F43" s="134" t="s">
        <v>76</v>
      </c>
      <c r="G43" s="121"/>
      <c r="H43" s="121"/>
      <c r="I43" s="120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7"/>
      <c r="V43" s="64" t="str">
        <f t="shared" si="7"/>
        <v>Ok</v>
      </c>
    </row>
    <row r="44" spans="1:22">
      <c r="A44" s="17"/>
      <c r="B44" s="17"/>
      <c r="C44" s="127"/>
      <c r="D44" s="120" t="s">
        <v>75</v>
      </c>
      <c r="E44" s="120" t="str">
        <f>units</f>
        <v>$millions</v>
      </c>
      <c r="F44" s="134" t="s">
        <v>76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 t="shared" si="7"/>
        <v>Ok</v>
      </c>
    </row>
    <row r="45" spans="1:22">
      <c r="A45" s="17"/>
      <c r="B45" s="17"/>
      <c r="C45" s="127"/>
      <c r="D45" s="120" t="s">
        <v>75</v>
      </c>
      <c r="E45" s="120" t="str">
        <f>units</f>
        <v>$millions</v>
      </c>
      <c r="F45" s="134" t="s">
        <v>76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82</v>
      </c>
      <c r="D47" s="131" t="s">
        <v>54</v>
      </c>
      <c r="E47" s="135" t="str">
        <f>units</f>
        <v>$millions</v>
      </c>
      <c r="F47" s="132" t="s">
        <v>76</v>
      </c>
      <c r="G47" s="121"/>
      <c r="H47" s="121"/>
      <c r="I47" s="120"/>
      <c r="J47" s="133">
        <f>J37-SUM(J41:J45)</f>
        <v>28.721406999999999</v>
      </c>
      <c r="K47" s="133">
        <f t="shared" ref="K47:S47" si="8">K37-SUM(K41:K45)</f>
        <v>29.984511430000001</v>
      </c>
      <c r="L47" s="133">
        <f t="shared" si="8"/>
        <v>32.861718000000003</v>
      </c>
      <c r="M47" s="133">
        <f t="shared" si="8"/>
        <v>36.596114</v>
      </c>
      <c r="N47" s="133">
        <f t="shared" si="8"/>
        <v>37.438243878121028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83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84</v>
      </c>
      <c r="D51" s="120" t="s">
        <v>75</v>
      </c>
      <c r="E51" s="120" t="str">
        <f>units</f>
        <v>$millions</v>
      </c>
      <c r="F51" s="134" t="s">
        <v>76</v>
      </c>
      <c r="G51" s="121"/>
      <c r="H51" s="121"/>
      <c r="I51" s="120"/>
      <c r="J51" s="129">
        <v>2.8405659999999999</v>
      </c>
      <c r="K51" s="129">
        <v>5.059215</v>
      </c>
      <c r="L51" s="129">
        <v>5.06189</v>
      </c>
      <c r="M51" s="129">
        <v>3.0287259999999998</v>
      </c>
      <c r="N51" s="129">
        <v>3.2502884346687906</v>
      </c>
      <c r="O51" s="129"/>
      <c r="P51" s="129"/>
      <c r="Q51" s="129"/>
      <c r="R51" s="129"/>
      <c r="S51" s="129"/>
      <c r="T51" s="129"/>
      <c r="U51" s="17" t="s">
        <v>85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86</v>
      </c>
      <c r="D52" s="120" t="s">
        <v>75</v>
      </c>
      <c r="E52" s="120" t="str">
        <f>units</f>
        <v>$millions</v>
      </c>
      <c r="F52" s="134" t="s">
        <v>76</v>
      </c>
      <c r="G52" s="121"/>
      <c r="H52" s="121"/>
      <c r="I52" s="120"/>
      <c r="J52" s="129">
        <v>8.4993700000000008</v>
      </c>
      <c r="K52" s="129">
        <v>8.6729109999999991</v>
      </c>
      <c r="L52" s="129">
        <v>8.3724720000000001</v>
      </c>
      <c r="M52" s="129">
        <v>9.0490580000000005</v>
      </c>
      <c r="N52" s="129">
        <v>9.68793256728536</v>
      </c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 t="s">
        <v>87</v>
      </c>
      <c r="D53" s="120" t="s">
        <v>75</v>
      </c>
      <c r="E53" s="120" t="str">
        <f>units</f>
        <v>$millions</v>
      </c>
      <c r="F53" s="134" t="s">
        <v>76</v>
      </c>
      <c r="G53" s="121"/>
      <c r="H53" s="121"/>
      <c r="I53" s="120"/>
      <c r="J53" s="129">
        <v>0</v>
      </c>
      <c r="K53" s="129">
        <v>0</v>
      </c>
      <c r="L53" s="129">
        <v>0</v>
      </c>
      <c r="M53" s="129">
        <v>0</v>
      </c>
      <c r="N53" s="129">
        <v>0</v>
      </c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A54" s="17"/>
      <c r="B54" s="17"/>
      <c r="C54" s="127"/>
      <c r="D54" s="120" t="s">
        <v>75</v>
      </c>
      <c r="E54" s="120" t="str">
        <f>units</f>
        <v>$millions</v>
      </c>
      <c r="F54" s="134" t="s">
        <v>76</v>
      </c>
      <c r="G54" s="121"/>
      <c r="H54" s="121"/>
      <c r="I54" s="120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A55" s="17"/>
      <c r="B55" s="17"/>
      <c r="C55" s="127"/>
      <c r="D55" s="120" t="s">
        <v>75</v>
      </c>
      <c r="E55" s="120" t="str">
        <f>units</f>
        <v>$millions</v>
      </c>
      <c r="F55" s="134" t="s">
        <v>76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72</v>
      </c>
      <c r="D57" s="131" t="s">
        <v>54</v>
      </c>
      <c r="E57" s="135" t="str">
        <f>units</f>
        <v>$millions</v>
      </c>
      <c r="F57" s="132" t="s">
        <v>76</v>
      </c>
      <c r="G57" s="121"/>
      <c r="H57" s="121"/>
      <c r="I57" s="120"/>
      <c r="J57" s="137">
        <f>SUM(J51:J55)</f>
        <v>11.339936000000002</v>
      </c>
      <c r="K57" s="137">
        <f t="shared" ref="K57:S57" si="10">SUM(K51:K55)</f>
        <v>13.732125999999999</v>
      </c>
      <c r="L57" s="137">
        <f t="shared" si="10"/>
        <v>13.434362</v>
      </c>
      <c r="M57" s="137">
        <f t="shared" si="10"/>
        <v>12.077784000000001</v>
      </c>
      <c r="N57" s="137">
        <f t="shared" si="10"/>
        <v>12.938221001954151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88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89</v>
      </c>
      <c r="D61" s="121" t="s">
        <v>33</v>
      </c>
      <c r="E61" s="121" t="s">
        <v>56</v>
      </c>
      <c r="F61" s="121" t="s">
        <v>60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/>
      <c r="D63" s="120" t="s">
        <v>90</v>
      </c>
      <c r="E63" s="120" t="str">
        <f>units</f>
        <v>$millions</v>
      </c>
      <c r="F63" s="139">
        <f>DATE(PPLastYear,MONTH(month),1)</f>
        <v>46174</v>
      </c>
      <c r="G63" s="121"/>
      <c r="H63" s="121"/>
      <c r="I63" s="121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7" t="s">
        <v>91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/>
      <c r="D64" s="120" t="s">
        <v>90</v>
      </c>
      <c r="E64" s="120" t="str">
        <f>units</f>
        <v>$millions</v>
      </c>
      <c r="F64" s="139">
        <f>DATE(PPLastYear,MONTH(month),1)</f>
        <v>46174</v>
      </c>
      <c r="G64" s="121"/>
      <c r="H64" s="121"/>
      <c r="I64" s="121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90</v>
      </c>
      <c r="E65" s="120" t="str">
        <f>units</f>
        <v>$millions</v>
      </c>
      <c r="F65" s="139">
        <f>DATE(PPLastYear,MONTH(month),1)</f>
        <v>46174</v>
      </c>
      <c r="G65" s="121"/>
      <c r="H65" s="121"/>
      <c r="I65" s="121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A66" s="17"/>
      <c r="B66" s="17"/>
      <c r="C66" s="127"/>
      <c r="D66" s="120" t="s">
        <v>90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A67" s="17"/>
      <c r="B67" s="17"/>
      <c r="C67" s="127"/>
      <c r="D67" s="120" t="s">
        <v>90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92</v>
      </c>
      <c r="D69" s="120" t="s">
        <v>90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29">
        <v>0</v>
      </c>
      <c r="O69" s="129"/>
      <c r="P69" s="129"/>
      <c r="Q69" s="129"/>
      <c r="R69" s="129"/>
      <c r="S69" s="129"/>
      <c r="T69" s="129"/>
      <c r="U69" s="17" t="s">
        <v>93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94</v>
      </c>
      <c r="D71" s="120" t="s">
        <v>90</v>
      </c>
      <c r="E71" s="120" t="s">
        <v>95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96</v>
      </c>
      <c r="V71" s="64" t="str">
        <f t="shared" si="13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23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13:T13">
    <cfRule type="expression" dxfId="146" priority="31">
      <formula>J$10=J$4</formula>
    </cfRule>
  </conditionalFormatting>
  <conditionalFormatting sqref="J15:T15">
    <cfRule type="cellIs" dxfId="145" priority="34" operator="equal">
      <formula>0</formula>
    </cfRule>
  </conditionalFormatting>
  <conditionalFormatting sqref="J19:T27">
    <cfRule type="expression" dxfId="144" priority="26">
      <formula>J$10=J$4</formula>
    </cfRule>
  </conditionalFormatting>
  <conditionalFormatting sqref="J29:T29">
    <cfRule type="cellIs" dxfId="143" priority="27" operator="equal">
      <formula>0</formula>
    </cfRule>
  </conditionalFormatting>
  <conditionalFormatting sqref="J33:T33 N37:T37">
    <cfRule type="expression" dxfId="142" priority="32">
      <formula>J$34=J$4</formula>
    </cfRule>
  </conditionalFormatting>
  <conditionalFormatting sqref="J37:T37">
    <cfRule type="expression" dxfId="141" priority="30">
      <formula>J$10=J$4</formula>
    </cfRule>
  </conditionalFormatting>
  <conditionalFormatting sqref="J41:T45">
    <cfRule type="expression" dxfId="140" priority="24">
      <formula>J$34=J$4</formula>
    </cfRule>
  </conditionalFormatting>
  <conditionalFormatting sqref="J47:T47">
    <cfRule type="cellIs" dxfId="139" priority="29" operator="equal">
      <formula>0</formula>
    </cfRule>
  </conditionalFormatting>
  <conditionalFormatting sqref="J51:T55">
    <cfRule type="expression" dxfId="138" priority="21">
      <formula>J$34=J$4</formula>
    </cfRule>
  </conditionalFormatting>
  <conditionalFormatting sqref="J57:T57">
    <cfRule type="cellIs" dxfId="137" priority="33" operator="equal">
      <formula>0</formula>
    </cfRule>
  </conditionalFormatting>
  <conditionalFormatting sqref="J63:T67">
    <cfRule type="expression" dxfId="136" priority="28">
      <formula>J$61=J$4</formula>
    </cfRule>
  </conditionalFormatting>
  <conditionalFormatting sqref="J69:T69 J71:T71">
    <cfRule type="expression" dxfId="135" priority="63">
      <formula>J$61=J$4</formula>
    </cfRule>
  </conditionalFormatting>
  <conditionalFormatting sqref="S1:T1">
    <cfRule type="cellIs" dxfId="134" priority="52" operator="equal">
      <formula>"Ok"</formula>
    </cfRule>
    <cfRule type="cellIs" dxfId="133" priority="51" operator="equal">
      <formula>"Check"</formula>
    </cfRule>
  </conditionalFormatting>
  <conditionalFormatting sqref="V1">
    <cfRule type="cellIs" dxfId="132" priority="80" operator="equal">
      <formula>"Check"</formula>
    </cfRule>
    <cfRule type="cellIs" dxfId="131" priority="81" operator="equal">
      <formula>"Ok"</formula>
    </cfRule>
  </conditionalFormatting>
  <conditionalFormatting sqref="V13">
    <cfRule type="cellIs" dxfId="130" priority="19" operator="equal">
      <formula>"Check"</formula>
    </cfRule>
    <cfRule type="cellIs" dxfId="129" priority="20" operator="equal">
      <formula>"Ok"</formula>
    </cfRule>
  </conditionalFormatting>
  <conditionalFormatting sqref="V15">
    <cfRule type="cellIs" dxfId="128" priority="82" operator="equal">
      <formula>"Check"</formula>
    </cfRule>
    <cfRule type="cellIs" dxfId="127" priority="83" operator="equal">
      <formula>"Ok"</formula>
    </cfRule>
  </conditionalFormatting>
  <conditionalFormatting sqref="V19:V27">
    <cfRule type="cellIs" dxfId="126" priority="17" operator="equal">
      <formula>"Check"</formula>
    </cfRule>
    <cfRule type="cellIs" dxfId="125" priority="18" operator="equal">
      <formula>"Ok"</formula>
    </cfRule>
  </conditionalFormatting>
  <conditionalFormatting sqref="V29">
    <cfRule type="cellIs" dxfId="124" priority="59" operator="equal">
      <formula>"Check"</formula>
    </cfRule>
    <cfRule type="cellIs" dxfId="123" priority="60" operator="equal">
      <formula>"Ok"</formula>
    </cfRule>
  </conditionalFormatting>
  <conditionalFormatting sqref="V37">
    <cfRule type="cellIs" dxfId="122" priority="13" operator="equal">
      <formula>"Check"</formula>
    </cfRule>
    <cfRule type="cellIs" dxfId="121" priority="14" operator="equal">
      <formula>"Ok"</formula>
    </cfRule>
  </conditionalFormatting>
  <conditionalFormatting sqref="V41:V45">
    <cfRule type="cellIs" dxfId="120" priority="9" operator="equal">
      <formula>"Check"</formula>
    </cfRule>
    <cfRule type="cellIs" dxfId="119" priority="10" operator="equal">
      <formula>"Ok"</formula>
    </cfRule>
  </conditionalFormatting>
  <conditionalFormatting sqref="V47">
    <cfRule type="cellIs" dxfId="118" priority="67" operator="equal">
      <formula>"Ok"</formula>
    </cfRule>
    <cfRule type="cellIs" dxfId="117" priority="66" operator="equal">
      <formula>"Check"</formula>
    </cfRule>
  </conditionalFormatting>
  <conditionalFormatting sqref="V48:V50">
    <cfRule type="cellIs" dxfId="116" priority="74" operator="equal">
      <formula>"Check"</formula>
    </cfRule>
    <cfRule type="cellIs" dxfId="115" priority="75" operator="equal">
      <formula>"Ok"</formula>
    </cfRule>
  </conditionalFormatting>
  <conditionalFormatting sqref="V51:V55">
    <cfRule type="cellIs" dxfId="114" priority="8" operator="equal">
      <formula>"Ok"</formula>
    </cfRule>
    <cfRule type="cellIs" dxfId="113" priority="7" operator="equal">
      <formula>"Check"</formula>
    </cfRule>
  </conditionalFormatting>
  <conditionalFormatting sqref="V52:V55">
    <cfRule type="cellIs" dxfId="112" priority="86" operator="equal">
      <formula>"Check"</formula>
    </cfRule>
    <cfRule type="cellIs" dxfId="111" priority="87" operator="equal">
      <formula>"Ok"</formula>
    </cfRule>
  </conditionalFormatting>
  <conditionalFormatting sqref="V57">
    <cfRule type="cellIs" dxfId="110" priority="84" operator="equal">
      <formula>"Check"</formula>
    </cfRule>
    <cfRule type="cellIs" dxfId="109" priority="85" operator="equal">
      <formula>"Ok"</formula>
    </cfRule>
  </conditionalFormatting>
  <conditionalFormatting sqref="V63:V67">
    <cfRule type="cellIs" dxfId="108" priority="5" operator="equal">
      <formula>"Check"</formula>
    </cfRule>
    <cfRule type="cellIs" dxfId="107" priority="6" operator="equal">
      <formula>"Ok"</formula>
    </cfRule>
  </conditionalFormatting>
  <conditionalFormatting sqref="V69">
    <cfRule type="cellIs" dxfId="106" priority="4" operator="equal">
      <formula>"Ok"</formula>
    </cfRule>
    <cfRule type="cellIs" dxfId="105" priority="3" operator="equal">
      <formula>"Check"</formula>
    </cfRule>
  </conditionalFormatting>
  <conditionalFormatting sqref="V71">
    <cfRule type="cellIs" dxfId="104" priority="1" operator="equal">
      <formula>"Check"</formula>
    </cfRule>
    <cfRule type="cellIs" dxfId="103" priority="2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J19:T27 J37:T3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  <headerFooter>
    <oddFooter>&amp;C_x000D_&amp;1#&amp;"Aptos"&amp;10&amp;K000000 Ringfenced -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7"/>
  <sheetViews>
    <sheetView showGridLines="0" topLeftCell="B69" zoomScaleNormal="100" workbookViewId="0">
      <selection activeCell="G107" sqref="G107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4" t="s">
        <v>24</v>
      </c>
      <c r="M1" s="28" t="s">
        <v>25</v>
      </c>
      <c r="N1" s="46" t="s">
        <v>26</v>
      </c>
      <c r="O1" s="11" t="s">
        <v>27</v>
      </c>
      <c r="P1" s="12" t="s">
        <v>28</v>
      </c>
      <c r="S1" s="28" t="s">
        <v>29</v>
      </c>
      <c r="T1" s="29" t="str">
        <f>IF(COUNTIF(X5:X110,"Check")=0,"Ok","Check")</f>
        <v>Ok</v>
      </c>
      <c r="U1" s="29"/>
      <c r="W1" s="185" t="s">
        <v>30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41</v>
      </c>
      <c r="K3" s="203"/>
      <c r="L3" s="203"/>
      <c r="M3" s="203"/>
      <c r="N3" s="105"/>
      <c r="O3" s="203"/>
      <c r="P3" s="203"/>
      <c r="Q3" s="203"/>
      <c r="R3" s="203"/>
      <c r="S3" s="203"/>
      <c r="T3" s="203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33</v>
      </c>
      <c r="E4" s="56" t="s">
        <v>56</v>
      </c>
      <c r="F4" s="144" t="s">
        <v>60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7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97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97</v>
      </c>
      <c r="D12" s="150" t="s">
        <v>98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IF(J10=J4,LOOKUP(EOMONTH(J4,0),'Input|Inflation'!$C$9:$C$84,'Input|Inflation'!$I$9:$I$84),"")</f>
        <v>3.8461538461538325E-2</v>
      </c>
      <c r="K12" s="148">
        <f>IF(K10=K4,LOOKUP(EOMONTH(K4,0),'Input|Inflation'!$C$9:$C$84,'Input|Inflation'!$I$9:$I$84),"")</f>
        <v>6.1447811447811418E-2</v>
      </c>
      <c r="L12" s="148">
        <f>IF(L10=L4,LOOKUP(EOMONTH(L4,0),'Input|Inflation'!$C$9:$C$84,'Input|Inflation'!$I$9:$I$84),"")</f>
        <v>6.0269627279936566E-2</v>
      </c>
      <c r="M12" s="148">
        <f>IF(M10=M4,LOOKUP(EOMONTH(M4,0),'Input|Inflation'!$C$9:$C$84,'Input|Inflation'!$I$9:$I$84),"")</f>
        <v>3.8145100972326373E-2</v>
      </c>
      <c r="N12" s="148">
        <f>IF(N10=N4,LOOKUP(EOMONTH(N4,0),'Input|Inflation'!$C$9:$C$84,'Input|Inflation'!$I$9:$I$84),"")</f>
        <v>2.0893371757924939E-2</v>
      </c>
      <c r="O12" s="148">
        <f>IF(O10=O4,LOOKUP(EOMONTH(O4,0),'Input|Inflation'!$C$9:$C$84,'Input|Inflation'!$I$9:$I$84),"")</f>
        <v>3.0000000000000027E-2</v>
      </c>
      <c r="P12" s="148" t="str">
        <f>IF(P10=P4,LOOKUP(EOMONTH(P4,0),'Input|Inflation'!$C$9:$C$84,'Input|Inflation'!$I$9:$I$84),"")</f>
        <v/>
      </c>
      <c r="Q12" s="148" t="str">
        <f>IF(Q10=Q4,LOOKUP(EOMONTH(Q4,0),'Input|Inflation'!$C$9:$C$84,'Input|Inflation'!$I$9:$I$84),"")</f>
        <v/>
      </c>
      <c r="R12" s="148" t="str">
        <f>IF(R10=R4,LOOKUP(EOMONTH(R4,0),'Input|Inflation'!$C$9:$C$84,'Input|Inflation'!$I$9:$I$84),"")</f>
        <v/>
      </c>
      <c r="S12" s="148" t="str">
        <f>IF(S10=S4,LOOKUP(EOMONTH(S4,0),'Input|Inflation'!$C$9:$C$84,'Input|Inflation'!$I$9:$I$84),"")</f>
        <v/>
      </c>
      <c r="T12" s="148" t="str">
        <f>IF(T10=T4,LOOKUP(EOMONTH(T4,0),'Input|Inflation'!$C$9:$C$84,'Input|Inflation'!$I$9:$I$84),"")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99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16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1.1683501683501687</v>
      </c>
      <c r="N16" s="154">
        <f t="shared" si="3"/>
        <v>1.1927609427609429</v>
      </c>
      <c r="O16" s="154">
        <f t="shared" ref="O16:P16" si="4">IF(AND($C16&gt;O$14,ISNONTEXT($C16)),P16/(1+O$12),IF(AND($C16=O$14,O$14=O$4),1,IF(AND($C16&lt;O$14,O$14=O$4),N16*(1+O$12),0)))</f>
        <v>1.2285437710437712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1.1007137192704206</v>
      </c>
      <c r="N17" s="154">
        <f t="shared" si="6"/>
        <v>1.1237113402061858</v>
      </c>
      <c r="O17" s="154">
        <f t="shared" ref="O17:P17" si="7">IF(AND($C17&gt;O$14,ISNONTEXT($C17)),P17/(1+O$12),IF(AND($C17=O$14,O$14=O$4),1,IF(AND($C17&lt;O$14,O$14=O$4),N17*(1+O$12),0)))</f>
        <v>1.1574226804123715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1.0381451009723264</v>
      </c>
      <c r="N18" s="154">
        <f t="shared" si="8"/>
        <v>1.0598354525056097</v>
      </c>
      <c r="O18" s="154">
        <f t="shared" ref="O18:P18" si="9">IF(AND($C18&gt;O$14,ISNONTEXT($C18)),P18/(1+O$12),IF(AND($C18=O$14,O$14=O$4),1,IF(AND($C18&lt;O$14,O$14=O$4),N18*(1+O$12),0)))</f>
        <v>1.091630516080778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0.85590778097982689</v>
      </c>
      <c r="K19" s="154">
        <f t="shared" si="10"/>
        <v>0.90850144092218998</v>
      </c>
      <c r="L19" s="154">
        <f t="shared" si="10"/>
        <v>0.96325648414985565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1.0515201729106627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0.83839096683133374</v>
      </c>
      <c r="K20" s="154">
        <f t="shared" ref="K20:N20" si="12">IF(AND($C20&gt;K$14,ISNONTEXT($C20)),L20/(1+L$12),IF(AND($C20=K$14,K$14=K$4),1,IF(AND($C20&lt;K$14,K$14=K$4),J20*(1+K$12),0)))</f>
        <v>0.88990825688073383</v>
      </c>
      <c r="L20" s="154">
        <f t="shared" si="12"/>
        <v>0.9435426958362737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1.03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0.81397181245760553</v>
      </c>
      <c r="K21" s="154">
        <f t="shared" ref="K21:K22" si="14">IF(AND($C21&gt;K$14,ISNONTEXT($C21)),L21/(1+L$12),IF(AND($C21=K$14,K$14=K$4),1,IF(AND($C21&lt;K$14,K$14=K$4),J21*(1+K$12),0)))</f>
        <v>0.86398859891333379</v>
      </c>
      <c r="L21" s="154">
        <f t="shared" ref="L21:L22" si="15">IF(AND($C21&gt;L$14,ISNONTEXT($C21)),M21/(1+M$12),IF(AND($C21=L$14,L$14=L$4),1,IF(AND($C21&lt;L$14,L$14=L$4),K21*(1+L$12),0)))</f>
        <v>0.91606086974395506</v>
      </c>
      <c r="M21" s="154">
        <f t="shared" ref="M21:M22" si="16">IF(AND($C21&gt;M$14,ISNONTEXT($C21)),N21/(1+N$12),IF(AND($C21=M$14,M$14=M$4),1,IF(AND($C21&lt;M$14,M$14=M$4),L21*(1+M$12),0)))</f>
        <v>0.95100410411713532</v>
      </c>
      <c r="N21" s="154">
        <f t="shared" ref="N21:N22" si="17">IF(AND($C21&gt;N$14,ISNONTEXT($C21)),O21/(1+O$12),IF(AND($C21=N$14,N$14=N$4),1,IF(AND($C21&lt;N$14,N$14=N$4),M21*(1+N$12),0)))</f>
        <v>0.970873786407767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100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0.84710409750758409</v>
      </c>
      <c r="O26" s="154">
        <f t="shared" si="22"/>
        <v>0.82609116616738187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0.92566671963703617</v>
      </c>
      <c r="N27" s="154">
        <f t="shared" si="24"/>
        <v>0.89915679036789842</v>
      </c>
      <c r="O27" s="154">
        <f t="shared" si="24"/>
        <v>0.87685266038473775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0.98145630781500182</v>
      </c>
      <c r="N28" s="154">
        <f t="shared" si="25"/>
        <v>0.95334863498959588</v>
      </c>
      <c r="O28" s="154">
        <f t="shared" si="25"/>
        <v>0.9297002434055468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1.1906064571156811</v>
      </c>
      <c r="K29" s="154">
        <f t="shared" si="26"/>
        <v>1.1340278035458109</v>
      </c>
      <c r="L29" s="154">
        <f t="shared" si="26"/>
        <v>1.0689717279861126</v>
      </c>
      <c r="M29" s="154">
        <f t="shared" si="26"/>
        <v>1.0188940577765317</v>
      </c>
      <c r="N29" s="154">
        <f t="shared" si="26"/>
        <v>0.98971421493310363</v>
      </c>
      <c r="O29" s="154">
        <f t="shared" si="26"/>
        <v>0.96516375306424773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1.215482240441585</v>
      </c>
      <c r="K30" s="154">
        <f t="shared" si="27"/>
        <v>1.1577214680291166</v>
      </c>
      <c r="L30" s="154">
        <f t="shared" si="27"/>
        <v>1.0913061516976379</v>
      </c>
      <c r="M30" s="154">
        <f t="shared" si="27"/>
        <v>1.0401821901075974</v>
      </c>
      <c r="N30" s="154">
        <f t="shared" si="27"/>
        <v>1.0103926819598037</v>
      </c>
      <c r="O30" s="154">
        <f t="shared" si="27"/>
        <v>0.98532927816429317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1.2519467076548325</v>
      </c>
      <c r="K31" s="154">
        <f t="shared" si="28"/>
        <v>1.1924531120699902</v>
      </c>
      <c r="L31" s="154">
        <f t="shared" si="28"/>
        <v>1.1240453362485672</v>
      </c>
      <c r="M31" s="154">
        <f t="shared" si="28"/>
        <v>1.0713876558108255</v>
      </c>
      <c r="N31" s="154">
        <f t="shared" si="28"/>
        <v>1.0407044624185979</v>
      </c>
      <c r="O31" s="154">
        <f t="shared" si="28"/>
        <v>1.014889156509222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101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102</v>
      </c>
      <c r="D36" s="121" t="s">
        <v>33</v>
      </c>
      <c r="E36" s="121" t="s">
        <v>56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103</v>
      </c>
      <c r="D38" s="120" t="s">
        <v>104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9.5176894908846291E-3</v>
      </c>
      <c r="Q38" s="159">
        <v>9.3011596103624323E-3</v>
      </c>
      <c r="R38" s="159">
        <v>1.0795445549347193E-2</v>
      </c>
      <c r="S38" s="159">
        <v>1.198734606573252E-2</v>
      </c>
      <c r="T38" s="159">
        <v>1.289271396481312E-2</v>
      </c>
      <c r="U38" s="17"/>
      <c r="V38" s="17"/>
      <c r="W38" s="17"/>
    </row>
    <row r="39" spans="1:34" ht="11.25" customHeight="1" outlineLevel="1">
      <c r="A39" s="17"/>
      <c r="B39" s="17"/>
      <c r="C39" s="161" t="s">
        <v>105</v>
      </c>
      <c r="D39" s="120" t="s">
        <v>104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4.9736286586310463E-3</v>
      </c>
      <c r="Q39" s="160">
        <v>8.343699097827173E-3</v>
      </c>
      <c r="R39" s="160">
        <v>1.036445497216465E-2</v>
      </c>
      <c r="S39" s="160">
        <v>1.2627788919086447E-2</v>
      </c>
      <c r="T39" s="160">
        <v>1.1822894956164509E-2</v>
      </c>
      <c r="U39" s="17"/>
      <c r="V39" s="17"/>
      <c r="W39" s="17"/>
    </row>
    <row r="40" spans="1:34" ht="11.25" customHeight="1" outlineLevel="1">
      <c r="A40" s="17"/>
      <c r="B40" s="17"/>
      <c r="C40" s="127" t="s">
        <v>106</v>
      </c>
      <c r="D40" s="120" t="s">
        <v>104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7.2456590747578377E-3</v>
      </c>
      <c r="Q40" s="160">
        <f t="shared" ref="Q40:T40" si="31">AVERAGE(Q38:Q39)</f>
        <v>8.8224293540948018E-3</v>
      </c>
      <c r="R40" s="160">
        <f t="shared" si="31"/>
        <v>1.0579950260755921E-2</v>
      </c>
      <c r="S40" s="160">
        <f t="shared" si="31"/>
        <v>1.2307567492409483E-2</v>
      </c>
      <c r="T40" s="160">
        <f t="shared" si="31"/>
        <v>1.2357804460488814E-2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104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/>
      <c r="D42" s="120" t="s">
        <v>104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104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104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107</v>
      </c>
      <c r="D45" s="120" t="s">
        <v>104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108</v>
      </c>
      <c r="D47" s="120" t="s">
        <v>98</v>
      </c>
      <c r="E47" s="120" t="s">
        <v>109</v>
      </c>
      <c r="F47" s="120" t="s">
        <v>110</v>
      </c>
      <c r="G47" s="120"/>
      <c r="H47" s="120"/>
      <c r="I47" s="120"/>
      <c r="J47" s="165" t="str">
        <f t="shared" ref="J47:S47" si="32">IF(J36=J4,IF(COUNTA($C38:$C45)=COUNT(J38:J45),"Ok","Check"),"")</f>
        <v/>
      </c>
      <c r="K47" s="165" t="str">
        <f t="shared" si="32"/>
        <v/>
      </c>
      <c r="L47" s="165" t="str">
        <f t="shared" si="32"/>
        <v/>
      </c>
      <c r="M47" s="165" t="str">
        <f t="shared" si="32"/>
        <v/>
      </c>
      <c r="N47" s="165" t="str">
        <f t="shared" si="32"/>
        <v/>
      </c>
      <c r="O47" s="165" t="str">
        <f t="shared" si="32"/>
        <v/>
      </c>
      <c r="P47" s="165" t="str">
        <f t="shared" si="32"/>
        <v>Ok</v>
      </c>
      <c r="Q47" s="165" t="str">
        <f t="shared" si="32"/>
        <v>Ok</v>
      </c>
      <c r="R47" s="165" t="str">
        <f t="shared" si="32"/>
        <v>Ok</v>
      </c>
      <c r="S47" s="165" t="str">
        <f t="shared" si="32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111</v>
      </c>
      <c r="D49" s="121" t="s">
        <v>33</v>
      </c>
      <c r="E49" s="121" t="s">
        <v>56</v>
      </c>
      <c r="F49" s="120"/>
      <c r="G49" s="120"/>
      <c r="H49" s="120"/>
      <c r="I49" s="120"/>
      <c r="J49" s="138" t="str">
        <f t="shared" ref="J49:U49" si="33">IF(YEAR(J$4)&gt;=FPFirstYear,IF(YEAR(J$4)&lt;=FPLastYear,J$4,""),"")</f>
        <v/>
      </c>
      <c r="K49" s="138" t="str">
        <f t="shared" si="33"/>
        <v/>
      </c>
      <c r="L49" s="138" t="str">
        <f t="shared" si="33"/>
        <v/>
      </c>
      <c r="M49" s="138" t="str">
        <f t="shared" si="33"/>
        <v/>
      </c>
      <c r="N49" s="138" t="str">
        <f t="shared" si="33"/>
        <v/>
      </c>
      <c r="O49" s="138" t="str">
        <f t="shared" si="33"/>
        <v/>
      </c>
      <c r="P49" s="138">
        <f t="shared" si="33"/>
        <v>46539</v>
      </c>
      <c r="Q49" s="138">
        <f t="shared" si="33"/>
        <v>46905</v>
      </c>
      <c r="R49" s="138">
        <f t="shared" si="33"/>
        <v>47270</v>
      </c>
      <c r="S49" s="138">
        <f t="shared" si="33"/>
        <v>47635</v>
      </c>
      <c r="T49" s="138">
        <f t="shared" si="33"/>
        <v>48000</v>
      </c>
      <c r="U49" s="138" t="str">
        <f t="shared" si="3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4">C38</f>
        <v>WPI - Oxford Economics</v>
      </c>
      <c r="D51" s="120" t="s">
        <v>104</v>
      </c>
      <c r="E51" s="120" t="str">
        <f t="shared" ref="E51:E58" si="3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4"/>
        <v>WPI - Deloitte Access Economics</v>
      </c>
      <c r="D52" s="120" t="s">
        <v>104</v>
      </c>
      <c r="E52" s="120" t="str">
        <f t="shared" si="3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4"/>
        <v>WPI - Average</v>
      </c>
      <c r="D53" s="120" t="s">
        <v>104</v>
      </c>
      <c r="E53" s="120" t="str">
        <f t="shared" si="3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>
        <v>0.62</v>
      </c>
      <c r="Q53" s="143">
        <v>0.62</v>
      </c>
      <c r="R53" s="143">
        <v>0.62</v>
      </c>
      <c r="S53" s="143">
        <v>0.62</v>
      </c>
      <c r="T53" s="143">
        <v>0.62</v>
      </c>
      <c r="U53" s="168"/>
      <c r="V53" s="17"/>
      <c r="W53" s="17"/>
    </row>
    <row r="54" spans="1:34" ht="11.25" customHeight="1" outlineLevel="1">
      <c r="A54" s="17"/>
      <c r="B54" s="17"/>
      <c r="C54" s="167">
        <f t="shared" si="34"/>
        <v>0</v>
      </c>
      <c r="D54" s="120" t="s">
        <v>104</v>
      </c>
      <c r="E54" s="120" t="str">
        <f t="shared" si="3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>
        <f t="shared" si="34"/>
        <v>0</v>
      </c>
      <c r="D55" s="120" t="s">
        <v>104</v>
      </c>
      <c r="E55" s="120" t="str">
        <f t="shared" si="3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/>
      <c r="Q55" s="169"/>
      <c r="R55" s="169"/>
      <c r="S55" s="169"/>
      <c r="T55" s="169"/>
      <c r="U55" s="168"/>
      <c r="V55" s="17"/>
      <c r="W55" s="17"/>
    </row>
    <row r="56" spans="1:34" ht="11.25" customHeight="1" outlineLevel="1">
      <c r="A56" s="17"/>
      <c r="B56" s="17"/>
      <c r="C56" s="167">
        <f t="shared" si="34"/>
        <v>0</v>
      </c>
      <c r="D56" s="120" t="s">
        <v>104</v>
      </c>
      <c r="E56" s="120" t="str">
        <f t="shared" si="3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4"/>
        <v>0</v>
      </c>
      <c r="D57" s="120" t="s">
        <v>104</v>
      </c>
      <c r="E57" s="120" t="str">
        <f t="shared" si="3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4"/>
        <v>CPI</v>
      </c>
      <c r="D58" s="120" t="s">
        <v>104</v>
      </c>
      <c r="E58" s="120" t="str">
        <f t="shared" si="3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0.38</v>
      </c>
      <c r="Q58" s="143">
        <v>0.38</v>
      </c>
      <c r="R58" s="143">
        <v>0.38</v>
      </c>
      <c r="S58" s="143">
        <v>0.38</v>
      </c>
      <c r="T58" s="143">
        <v>0.38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108</v>
      </c>
      <c r="D60" s="120" t="s">
        <v>98</v>
      </c>
      <c r="E60" s="120" t="s">
        <v>109</v>
      </c>
      <c r="F60" s="120" t="s">
        <v>110</v>
      </c>
      <c r="G60" s="120"/>
      <c r="H60" s="120"/>
      <c r="I60" s="120"/>
      <c r="J60" s="165" t="str">
        <f t="shared" ref="J60:S60" si="36">IF(J49=J$4,IF(SUM(J51:J58)=1,"Ok","Check"),"")</f>
        <v/>
      </c>
      <c r="K60" s="165" t="str">
        <f t="shared" si="36"/>
        <v/>
      </c>
      <c r="L60" s="165" t="str">
        <f t="shared" si="36"/>
        <v/>
      </c>
      <c r="M60" s="165" t="str">
        <f t="shared" si="36"/>
        <v/>
      </c>
      <c r="N60" s="165" t="str">
        <f t="shared" si="36"/>
        <v/>
      </c>
      <c r="O60" s="165" t="str">
        <f t="shared" si="36"/>
        <v/>
      </c>
      <c r="P60" s="165" t="str">
        <f t="shared" si="36"/>
        <v>Ok</v>
      </c>
      <c r="Q60" s="165" t="str">
        <f t="shared" si="36"/>
        <v>Ok</v>
      </c>
      <c r="R60" s="165" t="str">
        <f t="shared" si="36"/>
        <v>Ok</v>
      </c>
      <c r="S60" s="165" t="str">
        <f t="shared" si="36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112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113</v>
      </c>
      <c r="D64" s="121" t="s">
        <v>33</v>
      </c>
      <c r="E64" s="121" t="s">
        <v>56</v>
      </c>
      <c r="F64" s="121" t="s">
        <v>60</v>
      </c>
      <c r="G64" s="121"/>
      <c r="H64" s="121"/>
      <c r="I64" s="120"/>
      <c r="J64" s="138" t="str">
        <f t="shared" ref="J64:U64" si="37">IF(YEAR(J$4)&gt;=PPLastYear,IF(YEAR(J$4)&lt;=FPLastYear,J$4,""),"")</f>
        <v/>
      </c>
      <c r="K64" s="138" t="str">
        <f t="shared" si="37"/>
        <v/>
      </c>
      <c r="L64" s="138" t="str">
        <f t="shared" si="37"/>
        <v/>
      </c>
      <c r="M64" s="138" t="str">
        <f t="shared" si="37"/>
        <v/>
      </c>
      <c r="N64" s="138" t="str">
        <f t="shared" si="37"/>
        <v/>
      </c>
      <c r="O64" s="138">
        <f t="shared" si="37"/>
        <v>46174</v>
      </c>
      <c r="P64" s="138">
        <f t="shared" si="37"/>
        <v>46539</v>
      </c>
      <c r="Q64" s="138">
        <f t="shared" si="37"/>
        <v>46905</v>
      </c>
      <c r="R64" s="138">
        <f t="shared" si="37"/>
        <v>47270</v>
      </c>
      <c r="S64" s="138">
        <f t="shared" si="37"/>
        <v>47635</v>
      </c>
      <c r="T64" s="138">
        <f t="shared" si="37"/>
        <v>48000</v>
      </c>
      <c r="U64" s="138" t="str">
        <f t="shared" si="37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114</v>
      </c>
      <c r="D66" s="120" t="s">
        <v>104</v>
      </c>
      <c r="E66" s="120" t="s">
        <v>115</v>
      </c>
      <c r="F66" s="120" t="s">
        <v>110</v>
      </c>
      <c r="G66" s="121"/>
      <c r="H66" s="121"/>
      <c r="I66" s="120"/>
      <c r="J66" s="157"/>
      <c r="K66" s="170"/>
      <c r="L66" s="170"/>
      <c r="M66" s="170"/>
      <c r="N66" s="170"/>
      <c r="O66" s="191">
        <v>6455156.4797967141</v>
      </c>
      <c r="P66" s="191">
        <v>6332243.6687292438</v>
      </c>
      <c r="Q66" s="191">
        <v>6003537.2859131685</v>
      </c>
      <c r="R66" s="191">
        <v>5677512.6038769921</v>
      </c>
      <c r="S66" s="191">
        <v>5335282.4428680148</v>
      </c>
      <c r="T66" s="191">
        <v>4998958.849766626</v>
      </c>
      <c r="U66" s="141"/>
      <c r="V66" s="17"/>
      <c r="W66" s="17"/>
    </row>
    <row r="67" spans="1:24" outlineLevel="1">
      <c r="A67" s="17"/>
      <c r="B67" s="17"/>
      <c r="C67" s="127" t="s">
        <v>116</v>
      </c>
      <c r="D67" s="120" t="s">
        <v>104</v>
      </c>
      <c r="E67" s="120" t="s">
        <v>115</v>
      </c>
      <c r="F67" s="120" t="s">
        <v>110</v>
      </c>
      <c r="G67" s="121"/>
      <c r="H67" s="121"/>
      <c r="I67" s="120"/>
      <c r="J67" s="157"/>
      <c r="K67" s="170"/>
      <c r="L67" s="170"/>
      <c r="M67" s="170"/>
      <c r="N67" s="170"/>
      <c r="O67" s="191">
        <v>148475.19011822745</v>
      </c>
      <c r="P67" s="191">
        <v>143520.86902965204</v>
      </c>
      <c r="Q67" s="191">
        <v>136159.60532031342</v>
      </c>
      <c r="R67" s="191">
        <v>128222.46372606319</v>
      </c>
      <c r="S67" s="191">
        <v>119927.39412367984</v>
      </c>
      <c r="T67" s="191">
        <v>111645.21468562726</v>
      </c>
      <c r="U67" s="141"/>
      <c r="V67" s="17"/>
      <c r="W67" s="17"/>
    </row>
    <row r="68" spans="1:24" outlineLevel="1">
      <c r="A68" s="17"/>
      <c r="B68" s="17"/>
      <c r="C68" s="127"/>
      <c r="D68" s="120" t="s">
        <v>104</v>
      </c>
      <c r="E68" s="120" t="s">
        <v>115</v>
      </c>
      <c r="F68" s="120" t="s">
        <v>110</v>
      </c>
      <c r="G68" s="121"/>
      <c r="H68" s="121"/>
      <c r="I68" s="120"/>
      <c r="J68" s="157"/>
      <c r="K68" s="170"/>
      <c r="L68" s="170"/>
      <c r="M68" s="170"/>
      <c r="N68" s="170"/>
      <c r="O68" s="141"/>
      <c r="P68" s="141"/>
      <c r="Q68" s="141"/>
      <c r="R68" s="141"/>
      <c r="S68" s="141"/>
      <c r="T68" s="141"/>
      <c r="U68" s="141"/>
      <c r="V68" s="17"/>
      <c r="W68" s="17"/>
    </row>
    <row r="69" spans="1:24" outlineLevel="1">
      <c r="A69" s="17"/>
      <c r="B69" s="17"/>
      <c r="C69" s="127" t="s">
        <v>117</v>
      </c>
      <c r="D69" s="120" t="s">
        <v>104</v>
      </c>
      <c r="E69" s="120" t="s">
        <v>115</v>
      </c>
      <c r="F69" s="120" t="s">
        <v>110</v>
      </c>
      <c r="G69" s="121"/>
      <c r="H69" s="121"/>
      <c r="I69" s="120"/>
      <c r="J69" s="157"/>
      <c r="K69" s="170"/>
      <c r="L69" s="170"/>
      <c r="M69" s="170"/>
      <c r="N69" s="170"/>
      <c r="O69" s="198">
        <v>4804.6887696353615</v>
      </c>
      <c r="P69" s="198">
        <v>4807.1448947782237</v>
      </c>
      <c r="Q69" s="198">
        <v>4809.4970500260879</v>
      </c>
      <c r="R69" s="198">
        <v>4811.887509972109</v>
      </c>
      <c r="S69" s="198">
        <v>4814.2779699181301</v>
      </c>
      <c r="T69" s="198">
        <v>4816.641069365468</v>
      </c>
      <c r="U69" s="141"/>
      <c r="V69" s="17"/>
      <c r="W69" s="17"/>
    </row>
    <row r="70" spans="1:24" outlineLevel="1">
      <c r="A70" s="17"/>
      <c r="B70" s="17"/>
      <c r="C70" s="127"/>
      <c r="D70" s="120" t="s">
        <v>104</v>
      </c>
      <c r="E70" s="120" t="s">
        <v>115</v>
      </c>
      <c r="F70" s="120" t="s">
        <v>110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104</v>
      </c>
      <c r="E71" s="120" t="s">
        <v>115</v>
      </c>
      <c r="F71" s="120" t="s">
        <v>110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108</v>
      </c>
      <c r="D73" s="120" t="s">
        <v>98</v>
      </c>
      <c r="E73" s="120" t="s">
        <v>109</v>
      </c>
      <c r="F73" s="120" t="s">
        <v>110</v>
      </c>
      <c r="G73" s="120"/>
      <c r="H73" s="120"/>
      <c r="I73" s="120"/>
      <c r="J73" s="165" t="str">
        <f t="shared" ref="J73:S73" si="38">IF(J64=J$4,IF(COUNTA($C66:$C71)=COUNT(J66:J71),"Ok","Check"),"")</f>
        <v/>
      </c>
      <c r="K73" s="165" t="str">
        <f t="shared" si="38"/>
        <v/>
      </c>
      <c r="L73" s="165" t="str">
        <f t="shared" si="38"/>
        <v/>
      </c>
      <c r="M73" s="165" t="str">
        <f t="shared" si="38"/>
        <v/>
      </c>
      <c r="N73" s="165" t="str">
        <f t="shared" si="38"/>
        <v/>
      </c>
      <c r="O73" s="165" t="str">
        <f t="shared" si="38"/>
        <v>Ok</v>
      </c>
      <c r="P73" s="165" t="str">
        <f t="shared" si="38"/>
        <v>Ok</v>
      </c>
      <c r="Q73" s="165" t="str">
        <f t="shared" si="38"/>
        <v>Ok</v>
      </c>
      <c r="R73" s="165" t="str">
        <f t="shared" si="38"/>
        <v>Ok</v>
      </c>
      <c r="S73" s="165" t="str">
        <f t="shared" si="38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118</v>
      </c>
      <c r="D75" s="121" t="s">
        <v>33</v>
      </c>
      <c r="E75" s="121" t="s">
        <v>56</v>
      </c>
      <c r="F75" s="121" t="s">
        <v>60</v>
      </c>
      <c r="G75" s="121"/>
      <c r="H75" s="121"/>
      <c r="I75" s="120"/>
      <c r="J75" s="138" t="str">
        <f t="shared" ref="J75:U75" si="39">IF(YEAR(J$4)&gt;=FPFirstYear,IF(YEAR(J$4)&lt;=FPLastYear,J$4,""),"")</f>
        <v/>
      </c>
      <c r="K75" s="138" t="str">
        <f t="shared" si="39"/>
        <v/>
      </c>
      <c r="L75" s="138" t="str">
        <f t="shared" si="39"/>
        <v/>
      </c>
      <c r="M75" s="138" t="str">
        <f t="shared" si="39"/>
        <v/>
      </c>
      <c r="N75" s="138" t="str">
        <f t="shared" si="39"/>
        <v/>
      </c>
      <c r="O75" s="138" t="str">
        <f t="shared" si="39"/>
        <v/>
      </c>
      <c r="P75" s="138">
        <f t="shared" si="39"/>
        <v>46539</v>
      </c>
      <c r="Q75" s="138">
        <f t="shared" si="39"/>
        <v>46905</v>
      </c>
      <c r="R75" s="138">
        <f t="shared" si="39"/>
        <v>47270</v>
      </c>
      <c r="S75" s="138">
        <f t="shared" si="39"/>
        <v>47635</v>
      </c>
      <c r="T75" s="138">
        <f t="shared" si="39"/>
        <v>48000</v>
      </c>
      <c r="U75" s="138" t="str">
        <f t="shared" si="3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Energy throughput (GJ)</v>
      </c>
      <c r="D77" s="120" t="s">
        <v>98</v>
      </c>
      <c r="E77" s="120" t="s">
        <v>115</v>
      </c>
      <c r="F77" s="120" t="s">
        <v>110</v>
      </c>
      <c r="G77" s="121"/>
      <c r="H77" s="121"/>
      <c r="I77" s="120"/>
      <c r="J77" s="171" t="str">
        <f t="shared" ref="J77:M77" si="40">IF(ISBLANK(I66),"",IF(ISBLANK(J66),"",LN(J66)-LN(I66)))</f>
        <v/>
      </c>
      <c r="K77" s="171" t="str">
        <f t="shared" si="40"/>
        <v/>
      </c>
      <c r="L77" s="171" t="str">
        <f t="shared" si="40"/>
        <v/>
      </c>
      <c r="M77" s="171" t="str">
        <f t="shared" si="40"/>
        <v/>
      </c>
      <c r="N77" s="171" t="str">
        <f>IF(ISBLANK(M66),"",IF(ISBLANK(N66),"",LN(N66)-LN(M66)))</f>
        <v/>
      </c>
      <c r="O77" s="171" t="str">
        <f t="shared" ref="O77:U77" si="41">IF(ISBLANK(N66),"",IF(ISBLANK(O66),"",LN(O66)-LN(N66)))</f>
        <v/>
      </c>
      <c r="P77" s="171">
        <f t="shared" si="41"/>
        <v>-1.9224642256684632E-2</v>
      </c>
      <c r="Q77" s="171">
        <f t="shared" si="41"/>
        <v>-5.3305780224421895E-2</v>
      </c>
      <c r="R77" s="171">
        <f t="shared" si="41"/>
        <v>-5.58356282006649E-2</v>
      </c>
      <c r="S77" s="171">
        <f t="shared" si="41"/>
        <v>-6.2171390118738401E-2</v>
      </c>
      <c r="T77" s="171">
        <f t="shared" si="41"/>
        <v>-6.5112164141362783E-2</v>
      </c>
      <c r="U77" s="171" t="str">
        <f t="shared" si="41"/>
        <v/>
      </c>
      <c r="V77" s="17"/>
      <c r="W77" s="17"/>
    </row>
    <row r="78" spans="1:24" outlineLevel="1">
      <c r="A78" s="17"/>
      <c r="B78" s="17"/>
      <c r="C78" s="167" t="str">
        <f t="shared" ref="C78:C82" si="42">C67</f>
        <v>Customer numbers (#)</v>
      </c>
      <c r="D78" s="120" t="s">
        <v>98</v>
      </c>
      <c r="E78" s="120" t="s">
        <v>115</v>
      </c>
      <c r="F78" s="120" t="s">
        <v>110</v>
      </c>
      <c r="G78" s="121"/>
      <c r="H78" s="121"/>
      <c r="I78" s="120"/>
      <c r="J78" s="171" t="str">
        <f t="shared" ref="J78:U78" si="43">IF(ISBLANK(I67),"",IF(ISBLANK(J67),"",LN(J67)-LN(I67)))</f>
        <v/>
      </c>
      <c r="K78" s="171" t="str">
        <f t="shared" si="43"/>
        <v/>
      </c>
      <c r="L78" s="171" t="str">
        <f t="shared" si="43"/>
        <v/>
      </c>
      <c r="M78" s="171" t="str">
        <f t="shared" si="43"/>
        <v/>
      </c>
      <c r="N78" s="171" t="str">
        <f t="shared" si="43"/>
        <v/>
      </c>
      <c r="O78" s="171" t="str">
        <f t="shared" si="43"/>
        <v/>
      </c>
      <c r="P78" s="171">
        <f t="shared" si="43"/>
        <v>-3.3937420970095999E-2</v>
      </c>
      <c r="Q78" s="171">
        <f t="shared" si="43"/>
        <v>-5.2652687229482353E-2</v>
      </c>
      <c r="R78" s="171">
        <f t="shared" si="43"/>
        <v>-6.0061012965636706E-2</v>
      </c>
      <c r="S78" s="171">
        <f t="shared" si="43"/>
        <v>-6.6880242512162624E-2</v>
      </c>
      <c r="T78" s="171">
        <f t="shared" si="43"/>
        <v>-7.1560393287620983E-2</v>
      </c>
      <c r="U78" s="171" t="str">
        <f t="shared" si="43"/>
        <v/>
      </c>
      <c r="V78" s="17"/>
      <c r="W78" s="17"/>
    </row>
    <row r="79" spans="1:24" outlineLevel="1">
      <c r="A79" s="17"/>
      <c r="B79" s="17"/>
      <c r="C79" s="167">
        <f t="shared" si="42"/>
        <v>0</v>
      </c>
      <c r="D79" s="120" t="s">
        <v>98</v>
      </c>
      <c r="E79" s="120" t="s">
        <v>115</v>
      </c>
      <c r="F79" s="120" t="s">
        <v>110</v>
      </c>
      <c r="G79" s="121"/>
      <c r="H79" s="121"/>
      <c r="I79" s="120"/>
      <c r="J79" s="171" t="str">
        <f t="shared" ref="J79:U79" si="44">IF(ISBLANK(I68),"",IF(ISBLANK(J68),"",LN(J68)-LN(I68)))</f>
        <v/>
      </c>
      <c r="K79" s="171" t="str">
        <f t="shared" si="44"/>
        <v/>
      </c>
      <c r="L79" s="171" t="str">
        <f t="shared" si="44"/>
        <v/>
      </c>
      <c r="M79" s="171" t="str">
        <f t="shared" si="44"/>
        <v/>
      </c>
      <c r="N79" s="171" t="str">
        <f t="shared" si="44"/>
        <v/>
      </c>
      <c r="O79" s="171" t="str">
        <f t="shared" si="44"/>
        <v/>
      </c>
      <c r="P79" s="171" t="str">
        <f t="shared" si="44"/>
        <v/>
      </c>
      <c r="Q79" s="171" t="str">
        <f t="shared" si="44"/>
        <v/>
      </c>
      <c r="R79" s="171" t="str">
        <f t="shared" si="44"/>
        <v/>
      </c>
      <c r="S79" s="171" t="str">
        <f t="shared" si="44"/>
        <v/>
      </c>
      <c r="T79" s="171" t="str">
        <f t="shared" si="44"/>
        <v/>
      </c>
      <c r="U79" s="171" t="str">
        <f t="shared" si="44"/>
        <v/>
      </c>
      <c r="V79" s="17"/>
      <c r="W79" s="17"/>
    </row>
    <row r="80" spans="1:24" outlineLevel="1">
      <c r="A80" s="17"/>
      <c r="B80" s="17"/>
      <c r="C80" s="167" t="str">
        <f t="shared" si="42"/>
        <v>Mains length (km)</v>
      </c>
      <c r="D80" s="120" t="s">
        <v>98</v>
      </c>
      <c r="E80" s="120" t="s">
        <v>115</v>
      </c>
      <c r="F80" s="120" t="s">
        <v>110</v>
      </c>
      <c r="G80" s="121"/>
      <c r="H80" s="121"/>
      <c r="I80" s="120"/>
      <c r="J80" s="171" t="str">
        <f t="shared" ref="J80:T80" si="45">IF(ISBLANK(I69),"",IF(ISBLANK(J69),"",LN(J69)-LN(I69)))</f>
        <v/>
      </c>
      <c r="K80" s="171" t="str">
        <f t="shared" si="45"/>
        <v/>
      </c>
      <c r="L80" s="171" t="str">
        <f t="shared" si="45"/>
        <v/>
      </c>
      <c r="M80" s="171" t="str">
        <f t="shared" si="45"/>
        <v/>
      </c>
      <c r="N80" s="171" t="str">
        <f t="shared" si="45"/>
        <v/>
      </c>
      <c r="O80" s="171" t="str">
        <f t="shared" si="45"/>
        <v/>
      </c>
      <c r="P80" s="171">
        <f>IF(ISBLANK(O69),"",IF(ISBLANK(P69),"",LN(P69)-LN(O69)))</f>
        <v>5.1106277575740933E-4</v>
      </c>
      <c r="Q80" s="171">
        <f t="shared" si="45"/>
        <v>4.8918433446232257E-4</v>
      </c>
      <c r="R80" s="171">
        <f t="shared" si="45"/>
        <v>4.9690561276349854E-4</v>
      </c>
      <c r="S80" s="171">
        <f t="shared" si="45"/>
        <v>4.9665882020200058E-4</v>
      </c>
      <c r="T80" s="171">
        <f t="shared" si="45"/>
        <v>4.9073187826031983E-4</v>
      </c>
      <c r="U80" s="171"/>
      <c r="V80" s="17"/>
      <c r="W80" s="17"/>
    </row>
    <row r="81" spans="1:24" outlineLevel="1">
      <c r="A81" s="17"/>
      <c r="B81" s="17"/>
      <c r="C81" s="167">
        <f t="shared" si="42"/>
        <v>0</v>
      </c>
      <c r="D81" s="120" t="s">
        <v>98</v>
      </c>
      <c r="E81" s="120" t="s">
        <v>115</v>
      </c>
      <c r="F81" s="120" t="s">
        <v>110</v>
      </c>
      <c r="G81" s="121"/>
      <c r="H81" s="121"/>
      <c r="I81" s="120"/>
      <c r="J81" s="171" t="str">
        <f t="shared" ref="J81:T81" si="46">IF(ISBLANK(I70),"",IF(ISBLANK(J70),"",LN(J70)-LN(I70)))</f>
        <v/>
      </c>
      <c r="K81" s="171" t="str">
        <f t="shared" si="46"/>
        <v/>
      </c>
      <c r="L81" s="171" t="str">
        <f t="shared" si="46"/>
        <v/>
      </c>
      <c r="M81" s="171" t="str">
        <f t="shared" si="46"/>
        <v/>
      </c>
      <c r="N81" s="171" t="str">
        <f t="shared" si="46"/>
        <v/>
      </c>
      <c r="O81" s="171" t="str">
        <f t="shared" si="46"/>
        <v/>
      </c>
      <c r="P81" s="171" t="str">
        <f t="shared" si="46"/>
        <v/>
      </c>
      <c r="Q81" s="171" t="str">
        <f t="shared" si="46"/>
        <v/>
      </c>
      <c r="R81" s="171" t="str">
        <f t="shared" si="46"/>
        <v/>
      </c>
      <c r="S81" s="171" t="str">
        <f t="shared" si="46"/>
        <v/>
      </c>
      <c r="T81" s="171" t="str">
        <f t="shared" si="46"/>
        <v/>
      </c>
      <c r="U81" s="171"/>
      <c r="V81" s="17"/>
      <c r="W81" s="17"/>
    </row>
    <row r="82" spans="1:24" outlineLevel="1">
      <c r="A82" s="17"/>
      <c r="B82" s="17"/>
      <c r="C82" s="167">
        <f t="shared" si="42"/>
        <v>0</v>
      </c>
      <c r="D82" s="120" t="s">
        <v>98</v>
      </c>
      <c r="E82" s="120" t="s">
        <v>115</v>
      </c>
      <c r="F82" s="120" t="s">
        <v>110</v>
      </c>
      <c r="G82" s="121"/>
      <c r="H82" s="121"/>
      <c r="I82" s="120"/>
      <c r="J82" s="171" t="str">
        <f t="shared" ref="J82:T82" si="47">IF(ISBLANK(I71),"",IF(ISBLANK(J71),"",LN(J71)-LN(I71)))</f>
        <v/>
      </c>
      <c r="K82" s="171" t="str">
        <f t="shared" si="47"/>
        <v/>
      </c>
      <c r="L82" s="171" t="str">
        <f t="shared" si="47"/>
        <v/>
      </c>
      <c r="M82" s="171" t="str">
        <f t="shared" si="47"/>
        <v/>
      </c>
      <c r="N82" s="171" t="str">
        <f t="shared" si="47"/>
        <v/>
      </c>
      <c r="O82" s="171" t="str">
        <f t="shared" si="47"/>
        <v/>
      </c>
      <c r="P82" s="171" t="str">
        <f t="shared" si="47"/>
        <v/>
      </c>
      <c r="Q82" s="171" t="str">
        <f t="shared" si="47"/>
        <v/>
      </c>
      <c r="R82" s="171" t="str">
        <f t="shared" si="47"/>
        <v/>
      </c>
      <c r="S82" s="171" t="str">
        <f t="shared" si="47"/>
        <v/>
      </c>
      <c r="T82" s="171" t="str">
        <f t="shared" si="47"/>
        <v/>
      </c>
      <c r="U82" s="171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119</v>
      </c>
      <c r="D84" s="121" t="s">
        <v>33</v>
      </c>
      <c r="E84" s="121" t="s">
        <v>56</v>
      </c>
      <c r="F84" s="121" t="s">
        <v>60</v>
      </c>
      <c r="G84" s="121"/>
      <c r="H84" s="121"/>
      <c r="I84" s="120"/>
      <c r="J84" s="172" t="s">
        <v>120</v>
      </c>
      <c r="K84" s="172" t="s">
        <v>120</v>
      </c>
      <c r="L84" s="172" t="s">
        <v>121</v>
      </c>
      <c r="M84" s="172" t="s">
        <v>122</v>
      </c>
      <c r="N84" s="172" t="s">
        <v>123</v>
      </c>
      <c r="O84" s="172" t="s">
        <v>124</v>
      </c>
      <c r="P84" s="172" t="s">
        <v>125</v>
      </c>
      <c r="Q84" s="138"/>
      <c r="R84" s="138"/>
      <c r="S84" s="138"/>
      <c r="T84" s="138"/>
      <c r="U84" s="138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26"/>
      <c r="P85" s="126"/>
      <c r="Q85" s="173"/>
      <c r="R85" s="173"/>
      <c r="S85" s="173"/>
      <c r="T85" s="173"/>
      <c r="U85" s="173"/>
      <c r="V85" s="17"/>
      <c r="W85" s="17"/>
    </row>
    <row r="86" spans="1:24" outlineLevel="1">
      <c r="A86" s="17"/>
      <c r="B86" s="17"/>
      <c r="C86" s="167" t="str">
        <f t="shared" ref="C86:C91" si="48">C66</f>
        <v>Energy throughput (GJ)</v>
      </c>
      <c r="D86" s="120" t="s">
        <v>98</v>
      </c>
      <c r="E86" s="120" t="str">
        <f t="shared" ref="E86:E91" si="49">percent</f>
        <v>Per cent</v>
      </c>
      <c r="F86" s="120" t="s">
        <v>110</v>
      </c>
      <c r="G86" s="121"/>
      <c r="H86" s="121"/>
      <c r="I86" s="120"/>
      <c r="J86" s="190">
        <v>0</v>
      </c>
      <c r="K86" s="190">
        <v>0</v>
      </c>
      <c r="L86" s="190">
        <v>0</v>
      </c>
      <c r="M86" s="190">
        <v>0</v>
      </c>
      <c r="N86" s="190">
        <v>0</v>
      </c>
      <c r="O86" s="190">
        <v>0</v>
      </c>
      <c r="P86" s="190">
        <v>0</v>
      </c>
      <c r="Q86" s="174"/>
      <c r="R86" s="174"/>
      <c r="S86" s="174"/>
      <c r="T86" s="174"/>
      <c r="U86" s="174"/>
      <c r="V86" s="17"/>
      <c r="W86" s="17"/>
    </row>
    <row r="87" spans="1:24" outlineLevel="1">
      <c r="A87" s="17"/>
      <c r="B87" s="17"/>
      <c r="C87" s="167" t="str">
        <f t="shared" si="48"/>
        <v>Customer numbers (#)</v>
      </c>
      <c r="D87" s="120" t="s">
        <v>98</v>
      </c>
      <c r="E87" s="120" t="str">
        <f t="shared" si="49"/>
        <v>Per cent</v>
      </c>
      <c r="F87" s="120" t="s">
        <v>110</v>
      </c>
      <c r="G87" s="121"/>
      <c r="H87" s="121"/>
      <c r="I87" s="120"/>
      <c r="J87" s="190">
        <v>0</v>
      </c>
      <c r="K87" s="190">
        <v>0</v>
      </c>
      <c r="L87" s="190">
        <v>0</v>
      </c>
      <c r="M87" s="190">
        <v>0</v>
      </c>
      <c r="N87" s="190">
        <v>0</v>
      </c>
      <c r="O87" s="190">
        <v>0</v>
      </c>
      <c r="P87" s="190">
        <v>0</v>
      </c>
      <c r="Q87" s="174"/>
      <c r="R87" s="174"/>
      <c r="S87" s="174"/>
      <c r="T87" s="174"/>
      <c r="U87" s="174"/>
      <c r="V87" s="17"/>
      <c r="W87" s="17"/>
    </row>
    <row r="88" spans="1:24" outlineLevel="1">
      <c r="A88" s="17"/>
      <c r="B88" s="17"/>
      <c r="C88" s="167">
        <f t="shared" si="48"/>
        <v>0</v>
      </c>
      <c r="D88" s="120" t="s">
        <v>98</v>
      </c>
      <c r="E88" s="120" t="str">
        <f t="shared" si="49"/>
        <v>Per cent</v>
      </c>
      <c r="F88" s="120" t="s">
        <v>110</v>
      </c>
      <c r="G88" s="121"/>
      <c r="H88" s="121"/>
      <c r="I88" s="120"/>
      <c r="J88" s="190">
        <v>0</v>
      </c>
      <c r="K88" s="190">
        <v>0</v>
      </c>
      <c r="L88" s="190">
        <v>0</v>
      </c>
      <c r="M88" s="190">
        <v>0</v>
      </c>
      <c r="N88" s="190">
        <v>0</v>
      </c>
      <c r="O88" s="190">
        <v>0</v>
      </c>
      <c r="P88" s="190">
        <v>0</v>
      </c>
      <c r="Q88" s="174"/>
      <c r="R88" s="174"/>
      <c r="S88" s="174"/>
      <c r="T88" s="174"/>
      <c r="U88" s="174"/>
      <c r="V88" s="17"/>
      <c r="W88" s="17"/>
    </row>
    <row r="89" spans="1:24" outlineLevel="1">
      <c r="A89" s="17"/>
      <c r="B89" s="17"/>
      <c r="C89" s="167" t="str">
        <f t="shared" si="48"/>
        <v>Mains length (km)</v>
      </c>
      <c r="D89" s="120" t="s">
        <v>98</v>
      </c>
      <c r="E89" s="120" t="str">
        <f t="shared" si="49"/>
        <v>Per cent</v>
      </c>
      <c r="F89" s="120" t="s">
        <v>110</v>
      </c>
      <c r="G89" s="121"/>
      <c r="H89" s="121"/>
      <c r="I89" s="120"/>
      <c r="J89" s="190">
        <v>1</v>
      </c>
      <c r="K89" s="190">
        <v>1</v>
      </c>
      <c r="L89" s="190">
        <v>1</v>
      </c>
      <c r="M89" s="190">
        <v>1</v>
      </c>
      <c r="N89" s="190">
        <v>1</v>
      </c>
      <c r="O89" s="190">
        <v>1</v>
      </c>
      <c r="P89" s="190">
        <v>1</v>
      </c>
      <c r="Q89" s="174"/>
      <c r="R89" s="174"/>
      <c r="S89" s="174"/>
      <c r="T89" s="174"/>
      <c r="U89" s="174"/>
      <c r="V89" s="17"/>
      <c r="W89" s="17"/>
    </row>
    <row r="90" spans="1:24" outlineLevel="1">
      <c r="A90" s="17"/>
      <c r="B90" s="17"/>
      <c r="C90" s="167">
        <f t="shared" si="48"/>
        <v>0</v>
      </c>
      <c r="D90" s="120" t="s">
        <v>98</v>
      </c>
      <c r="E90" s="120" t="str">
        <f t="shared" si="49"/>
        <v>Per cent</v>
      </c>
      <c r="F90" s="120" t="s">
        <v>110</v>
      </c>
      <c r="G90" s="121"/>
      <c r="H90" s="121"/>
      <c r="I90" s="120"/>
      <c r="J90" s="190">
        <v>0</v>
      </c>
      <c r="K90" s="190">
        <v>0</v>
      </c>
      <c r="L90" s="190">
        <v>0</v>
      </c>
      <c r="M90" s="190">
        <v>0</v>
      </c>
      <c r="N90" s="190">
        <v>0</v>
      </c>
      <c r="O90" s="190">
        <v>0</v>
      </c>
      <c r="P90" s="190">
        <v>0</v>
      </c>
      <c r="Q90" s="174"/>
      <c r="R90" s="174"/>
      <c r="S90" s="174"/>
      <c r="T90" s="174"/>
      <c r="U90" s="174"/>
      <c r="V90" s="17"/>
      <c r="W90" s="17"/>
    </row>
    <row r="91" spans="1:24" outlineLevel="1">
      <c r="A91" s="17"/>
      <c r="B91" s="17"/>
      <c r="C91" s="167">
        <f t="shared" si="48"/>
        <v>0</v>
      </c>
      <c r="D91" s="120" t="s">
        <v>98</v>
      </c>
      <c r="E91" s="120" t="str">
        <f t="shared" si="49"/>
        <v>Per cent</v>
      </c>
      <c r="F91" s="120" t="s">
        <v>110</v>
      </c>
      <c r="G91" s="121"/>
      <c r="H91" s="121"/>
      <c r="I91" s="120"/>
      <c r="J91" s="190">
        <v>0</v>
      </c>
      <c r="K91" s="190">
        <v>0</v>
      </c>
      <c r="L91" s="190">
        <v>0</v>
      </c>
      <c r="M91" s="190">
        <v>0</v>
      </c>
      <c r="N91" s="190">
        <v>0</v>
      </c>
      <c r="O91" s="190">
        <v>0</v>
      </c>
      <c r="P91" s="190">
        <v>0</v>
      </c>
      <c r="Q91" s="174"/>
      <c r="R91" s="174"/>
      <c r="S91" s="174"/>
      <c r="T91" s="174"/>
      <c r="U91" s="174"/>
      <c r="V91" s="17"/>
      <c r="W91" s="17"/>
    </row>
    <row r="92" spans="1:24" outlineLevel="1">
      <c r="A92" s="17"/>
      <c r="B92" s="17"/>
      <c r="C92" s="17"/>
      <c r="D92" s="120"/>
      <c r="E92" s="120"/>
      <c r="F92" s="120"/>
      <c r="G92" s="121"/>
      <c r="H92" s="121"/>
      <c r="I92" s="120"/>
      <c r="J92" s="175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22" t="s">
        <v>126</v>
      </c>
      <c r="D93" s="121" t="s">
        <v>33</v>
      </c>
      <c r="E93" s="121" t="s">
        <v>56</v>
      </c>
      <c r="F93" s="121" t="s">
        <v>60</v>
      </c>
      <c r="G93" s="120"/>
      <c r="H93" s="120"/>
      <c r="I93" s="120"/>
      <c r="J93" s="138" t="str">
        <f t="shared" ref="J93:U93" si="50">IF(YEAR(J$4)&gt;=FPFirstYear,IF(YEAR(J$4)&lt;=FPLastYear,J$4,""),"")</f>
        <v/>
      </c>
      <c r="K93" s="138" t="str">
        <f t="shared" si="50"/>
        <v/>
      </c>
      <c r="L93" s="138" t="str">
        <f t="shared" si="50"/>
        <v/>
      </c>
      <c r="M93" s="138" t="str">
        <f t="shared" si="50"/>
        <v/>
      </c>
      <c r="N93" s="138" t="str">
        <f t="shared" si="50"/>
        <v/>
      </c>
      <c r="O93" s="138" t="str">
        <f t="shared" si="50"/>
        <v/>
      </c>
      <c r="P93" s="138">
        <f t="shared" si="50"/>
        <v>46539</v>
      </c>
      <c r="Q93" s="138">
        <f t="shared" si="50"/>
        <v>46905</v>
      </c>
      <c r="R93" s="138">
        <f t="shared" si="50"/>
        <v>47270</v>
      </c>
      <c r="S93" s="138">
        <f t="shared" si="50"/>
        <v>47635</v>
      </c>
      <c r="T93" s="138">
        <f t="shared" si="50"/>
        <v>48000</v>
      </c>
      <c r="U93" s="138" t="str">
        <f t="shared" si="50"/>
        <v/>
      </c>
      <c r="V93" s="166"/>
      <c r="W93" s="17"/>
      <c r="X93" s="82"/>
    </row>
    <row r="94" spans="1:24" outlineLevel="1">
      <c r="A94" s="17"/>
      <c r="B94" s="17"/>
      <c r="C94" s="17"/>
      <c r="D94" s="120"/>
      <c r="E94" s="120"/>
      <c r="F94" s="120"/>
      <c r="G94" s="120"/>
      <c r="H94" s="120"/>
      <c r="I94" s="120"/>
      <c r="J94" s="165"/>
      <c r="K94" s="165"/>
      <c r="L94" s="165"/>
      <c r="M94" s="165"/>
      <c r="N94" s="165"/>
      <c r="O94" s="165"/>
      <c r="P94" s="165"/>
      <c r="Q94" s="165"/>
      <c r="R94" s="165"/>
      <c r="S94" s="165"/>
      <c r="T94" s="165"/>
      <c r="U94" s="165"/>
      <c r="V94" s="166"/>
      <c r="W94" s="17"/>
      <c r="X94" s="82"/>
    </row>
    <row r="95" spans="1:24" outlineLevel="1">
      <c r="A95" s="17"/>
      <c r="B95" s="17"/>
      <c r="C95" s="167" t="str" cm="1">
        <f t="array" ref="C95:C101">TRANSPOSE(J84:P84)</f>
        <v>AA (2016)</v>
      </c>
      <c r="D95" s="120" t="s">
        <v>98</v>
      </c>
      <c r="E95" s="120" t="s">
        <v>115</v>
      </c>
      <c r="F95" s="120" t="s">
        <v>110</v>
      </c>
      <c r="G95" s="120"/>
      <c r="H95" s="120"/>
      <c r="I95" s="120"/>
      <c r="J95" s="171" t="str">
        <f t="shared" ref="J95:U95" si="51">IF(J$93=J$4,SUMPRODUCT(J$77:J$82,$J$86:$J$91),"")</f>
        <v/>
      </c>
      <c r="K95" s="171" t="str">
        <f t="shared" si="51"/>
        <v/>
      </c>
      <c r="L95" s="171" t="str">
        <f t="shared" si="51"/>
        <v/>
      </c>
      <c r="M95" s="171" t="str">
        <f t="shared" si="51"/>
        <v/>
      </c>
      <c r="N95" s="171" t="str">
        <f t="shared" si="51"/>
        <v/>
      </c>
      <c r="O95" s="171" t="str">
        <f t="shared" si="51"/>
        <v/>
      </c>
      <c r="P95" s="199">
        <f>IF(P$93=P$4,SUMPRODUCT(P$77:P$82,$J$86:$J$91),"")</f>
        <v>5.1106277575740933E-4</v>
      </c>
      <c r="Q95" s="199">
        <f t="shared" ref="Q95:T95" si="52">IF(Q$93=Q$4,SUMPRODUCT(Q$77:Q$82,$J$86:$J$91),"")</f>
        <v>4.8918433446232257E-4</v>
      </c>
      <c r="R95" s="199">
        <f t="shared" si="52"/>
        <v>4.9690561276349854E-4</v>
      </c>
      <c r="S95" s="199">
        <f t="shared" si="52"/>
        <v>4.9665882020200058E-4</v>
      </c>
      <c r="T95" s="199">
        <f t="shared" si="52"/>
        <v>4.9073187826031983E-4</v>
      </c>
      <c r="U95" s="171" t="str">
        <f t="shared" si="51"/>
        <v/>
      </c>
      <c r="V95" s="166"/>
      <c r="W95" s="17"/>
      <c r="X95" s="82"/>
    </row>
    <row r="96" spans="1:24" outlineLevel="1">
      <c r="A96" s="17"/>
      <c r="B96" s="17"/>
      <c r="C96" s="167" t="str">
        <v>AA (2016)</v>
      </c>
      <c r="D96" s="120" t="s">
        <v>98</v>
      </c>
      <c r="E96" s="120" t="s">
        <v>115</v>
      </c>
      <c r="F96" s="120" t="s">
        <v>110</v>
      </c>
      <c r="G96" s="120"/>
      <c r="H96" s="120"/>
      <c r="I96" s="120"/>
      <c r="J96" s="171" t="str">
        <f t="shared" ref="J96:U96" si="53">IF(J$93=J$4,SUMPRODUCT(J$77:J$82,$K$86:$K$91),"")</f>
        <v/>
      </c>
      <c r="K96" s="171" t="str">
        <f t="shared" si="53"/>
        <v/>
      </c>
      <c r="L96" s="171" t="str">
        <f t="shared" si="53"/>
        <v/>
      </c>
      <c r="M96" s="171" t="str">
        <f t="shared" si="53"/>
        <v/>
      </c>
      <c r="N96" s="171" t="str">
        <f t="shared" si="53"/>
        <v/>
      </c>
      <c r="O96" s="171" t="str">
        <f t="shared" si="53"/>
        <v/>
      </c>
      <c r="P96" s="199">
        <f>IF(P$93=P$4,SUMPRODUCT(P$77:P$82,$K$86:$K$91),"")</f>
        <v>5.1106277575740933E-4</v>
      </c>
      <c r="Q96" s="199">
        <f t="shared" ref="Q96:T96" si="54">IF(Q$93=Q$4,SUMPRODUCT(Q$77:Q$82,$K$86:$K$91),"")</f>
        <v>4.8918433446232257E-4</v>
      </c>
      <c r="R96" s="199">
        <f t="shared" si="54"/>
        <v>4.9690561276349854E-4</v>
      </c>
      <c r="S96" s="199">
        <f t="shared" si="54"/>
        <v>4.9665882020200058E-4</v>
      </c>
      <c r="T96" s="199">
        <f t="shared" si="54"/>
        <v>4.9073187826031983E-4</v>
      </c>
      <c r="U96" s="171" t="str">
        <f t="shared" si="53"/>
        <v/>
      </c>
      <c r="V96" s="166"/>
      <c r="W96" s="17"/>
      <c r="X96" s="82"/>
    </row>
    <row r="97" spans="1:34" outlineLevel="1">
      <c r="A97" s="17"/>
      <c r="B97" s="17"/>
      <c r="C97" s="167" t="str">
        <v>EI (2019)</v>
      </c>
      <c r="D97" s="120" t="s">
        <v>98</v>
      </c>
      <c r="E97" s="120" t="s">
        <v>115</v>
      </c>
      <c r="F97" s="120" t="s">
        <v>110</v>
      </c>
      <c r="G97" s="120"/>
      <c r="H97" s="120"/>
      <c r="I97" s="120"/>
      <c r="J97" s="171" t="str">
        <f t="shared" ref="J97:U97" si="55">IF(J$93=J$4,SUMPRODUCT(J$77:J$82,$L$86:$L$91),"")</f>
        <v/>
      </c>
      <c r="K97" s="171" t="str">
        <f t="shared" si="55"/>
        <v/>
      </c>
      <c r="L97" s="171" t="str">
        <f t="shared" si="55"/>
        <v/>
      </c>
      <c r="M97" s="171" t="str">
        <f t="shared" si="55"/>
        <v/>
      </c>
      <c r="N97" s="171" t="str">
        <f t="shared" si="55"/>
        <v/>
      </c>
      <c r="O97" s="171" t="str">
        <f t="shared" si="55"/>
        <v/>
      </c>
      <c r="P97" s="199">
        <f>IF(P$93=P$4,SUMPRODUCT(P$77:P$82,$L$86:$L$91),"")</f>
        <v>5.1106277575740933E-4</v>
      </c>
      <c r="Q97" s="199">
        <f t="shared" ref="Q97:T97" si="56">IF(Q$93=Q$4,SUMPRODUCT(Q$77:Q$82,$L$86:$L$91),"")</f>
        <v>4.8918433446232257E-4</v>
      </c>
      <c r="R97" s="199">
        <f t="shared" si="56"/>
        <v>4.9690561276349854E-4</v>
      </c>
      <c r="S97" s="199">
        <f t="shared" si="56"/>
        <v>4.9665882020200058E-4</v>
      </c>
      <c r="T97" s="199">
        <f t="shared" si="56"/>
        <v>4.9073187826031983E-4</v>
      </c>
      <c r="U97" s="171" t="str">
        <f t="shared" si="55"/>
        <v/>
      </c>
      <c r="V97" s="166"/>
      <c r="W97" s="17"/>
      <c r="X97" s="82"/>
    </row>
    <row r="98" spans="1:34" outlineLevel="1">
      <c r="A98" s="17"/>
      <c r="B98" s="17"/>
      <c r="C98" s="167" t="str">
        <v>AA (2022)</v>
      </c>
      <c r="D98" s="120" t="s">
        <v>98</v>
      </c>
      <c r="E98" s="120" t="s">
        <v>115</v>
      </c>
      <c r="F98" s="120" t="s">
        <v>110</v>
      </c>
      <c r="G98" s="120"/>
      <c r="H98" s="120"/>
      <c r="I98" s="120"/>
      <c r="J98" s="171" t="str">
        <f t="shared" ref="J98:U98" si="57">IF(J$93=J$4,SUMPRODUCT(J$77:J$82,$M$86:$M$91),"")</f>
        <v/>
      </c>
      <c r="K98" s="171" t="str">
        <f t="shared" si="57"/>
        <v/>
      </c>
      <c r="L98" s="171" t="str">
        <f t="shared" si="57"/>
        <v/>
      </c>
      <c r="M98" s="171" t="str">
        <f t="shared" si="57"/>
        <v/>
      </c>
      <c r="N98" s="171" t="str">
        <f t="shared" si="57"/>
        <v/>
      </c>
      <c r="O98" s="171" t="str">
        <f t="shared" si="57"/>
        <v/>
      </c>
      <c r="P98" s="199">
        <f>IF(P$93=P$4,SUMPRODUCT(P$77:P$82,$M$86:$M$91),"")</f>
        <v>5.1106277575740933E-4</v>
      </c>
      <c r="Q98" s="199">
        <f t="shared" ref="Q98:T98" si="58">IF(Q$93=Q$4,SUMPRODUCT(Q$77:Q$82,$M$86:$M$91),"")</f>
        <v>4.8918433446232257E-4</v>
      </c>
      <c r="R98" s="199">
        <f t="shared" si="58"/>
        <v>4.9690561276349854E-4</v>
      </c>
      <c r="S98" s="199">
        <f t="shared" si="58"/>
        <v>4.9665882020200058E-4</v>
      </c>
      <c r="T98" s="199">
        <f t="shared" si="58"/>
        <v>4.9073187826031983E-4</v>
      </c>
      <c r="U98" s="171" t="str">
        <f t="shared" si="57"/>
        <v/>
      </c>
      <c r="V98" s="166"/>
      <c r="W98" s="17"/>
      <c r="X98" s="82"/>
    </row>
    <row r="99" spans="1:34" outlineLevel="1">
      <c r="A99" s="17"/>
      <c r="B99" s="17"/>
      <c r="C99" s="167" t="str">
        <v>CEG (2024)</v>
      </c>
      <c r="D99" s="120" t="s">
        <v>98</v>
      </c>
      <c r="E99" s="120" t="s">
        <v>115</v>
      </c>
      <c r="F99" s="120" t="s">
        <v>110</v>
      </c>
      <c r="G99" s="120"/>
      <c r="H99" s="120"/>
      <c r="I99" s="120"/>
      <c r="J99" s="171" t="str">
        <f t="shared" ref="J99:O99" si="59">IF(J$93=J$4,SUMPRODUCT(J$77:J$82,$N$86:$N$91),"")</f>
        <v/>
      </c>
      <c r="K99" s="171" t="str">
        <f t="shared" si="59"/>
        <v/>
      </c>
      <c r="L99" s="171" t="str">
        <f t="shared" si="59"/>
        <v/>
      </c>
      <c r="M99" s="171" t="str">
        <f t="shared" si="59"/>
        <v/>
      </c>
      <c r="N99" s="171" t="str">
        <f t="shared" si="59"/>
        <v/>
      </c>
      <c r="O99" s="171" t="str">
        <f t="shared" si="59"/>
        <v/>
      </c>
      <c r="P99" s="199">
        <f>IF(P$93=P$4,SUMPRODUCT(P$77:P$82,$N$86:$N$91),"")</f>
        <v>5.1106277575740933E-4</v>
      </c>
      <c r="Q99" s="199">
        <f t="shared" ref="Q99:T99" si="60">IF(Q$93=Q$4,SUMPRODUCT(Q$77:Q$82,$N$86:$N$91),"")</f>
        <v>4.8918433446232257E-4</v>
      </c>
      <c r="R99" s="199">
        <f t="shared" si="60"/>
        <v>4.9690561276349854E-4</v>
      </c>
      <c r="S99" s="199">
        <f t="shared" si="60"/>
        <v>4.9665882020200058E-4</v>
      </c>
      <c r="T99" s="199">
        <f t="shared" si="60"/>
        <v>4.9073187826031983E-4</v>
      </c>
      <c r="U99" s="171"/>
      <c r="V99" s="166"/>
      <c r="W99" s="17"/>
      <c r="X99" s="82"/>
    </row>
    <row r="100" spans="1:34" outlineLevel="1">
      <c r="A100" s="17"/>
      <c r="B100" s="17"/>
      <c r="C100" s="167" t="str">
        <v>EI (2015)</v>
      </c>
      <c r="D100" s="120" t="s">
        <v>98</v>
      </c>
      <c r="E100" s="120" t="s">
        <v>115</v>
      </c>
      <c r="F100" s="120" t="s">
        <v>110</v>
      </c>
      <c r="G100" s="120"/>
      <c r="H100" s="120"/>
      <c r="I100" s="120"/>
      <c r="J100" s="171"/>
      <c r="K100" s="171"/>
      <c r="L100" s="171"/>
      <c r="M100" s="171"/>
      <c r="N100" s="171"/>
      <c r="O100" s="171"/>
      <c r="P100" s="199">
        <f>IF(P$93=P$4,SUMPRODUCT(P$77:P$82,$O$86:$O$91),"")</f>
        <v>5.1106277575740933E-4</v>
      </c>
      <c r="Q100" s="199">
        <f t="shared" ref="Q100:T100" si="61">IF(Q$93=Q$4,SUMPRODUCT(Q$77:Q$82,$O$86:$O$91),"")</f>
        <v>4.8918433446232257E-4</v>
      </c>
      <c r="R100" s="199">
        <f t="shared" si="61"/>
        <v>4.9690561276349854E-4</v>
      </c>
      <c r="S100" s="199">
        <f t="shared" si="61"/>
        <v>4.9665882020200058E-4</v>
      </c>
      <c r="T100" s="199">
        <f t="shared" si="61"/>
        <v>4.9073187826031983E-4</v>
      </c>
      <c r="U100" s="171"/>
      <c r="V100" s="166"/>
      <c r="W100" s="17"/>
      <c r="X100" s="82"/>
    </row>
    <row r="101" spans="1:34" outlineLevel="1">
      <c r="A101" s="17"/>
      <c r="B101" s="17"/>
      <c r="C101" s="167" t="str">
        <v>EI (2016)</v>
      </c>
      <c r="D101" s="120" t="s">
        <v>98</v>
      </c>
      <c r="E101" s="120" t="s">
        <v>115</v>
      </c>
      <c r="F101" s="120" t="s">
        <v>110</v>
      </c>
      <c r="G101" s="120"/>
      <c r="H101" s="120"/>
      <c r="I101" s="120"/>
      <c r="J101" s="171"/>
      <c r="K101" s="171"/>
      <c r="L101" s="171"/>
      <c r="M101" s="171"/>
      <c r="N101" s="171"/>
      <c r="O101" s="171"/>
      <c r="P101" s="199">
        <f>IF(P$93=P$4,SUMPRODUCT(P$77:P$82,$P$86:$P$91),"")</f>
        <v>5.1106277575740933E-4</v>
      </c>
      <c r="Q101" s="199">
        <f t="shared" ref="Q101:T101" si="62">IF(Q$93=Q$4,SUMPRODUCT(Q$77:Q$82,$P$86:$P$91),"")</f>
        <v>4.8918433446232257E-4</v>
      </c>
      <c r="R101" s="199">
        <f t="shared" si="62"/>
        <v>4.9690561276349854E-4</v>
      </c>
      <c r="S101" s="199">
        <f t="shared" si="62"/>
        <v>4.9665882020200058E-4</v>
      </c>
      <c r="T101" s="199">
        <f t="shared" si="62"/>
        <v>4.9073187826031983E-4</v>
      </c>
      <c r="U101" s="171"/>
      <c r="V101" s="166"/>
      <c r="W101" s="17"/>
      <c r="X101" s="82"/>
    </row>
    <row r="102" spans="1:34" outlineLevel="1">
      <c r="A102" s="17"/>
      <c r="B102" s="17"/>
      <c r="C102" s="125"/>
      <c r="D102" s="120"/>
      <c r="E102" s="120"/>
      <c r="F102" s="120"/>
      <c r="G102" s="121"/>
      <c r="H102" s="121"/>
      <c r="I102" s="120"/>
      <c r="J102" s="120"/>
      <c r="K102" s="126"/>
      <c r="L102" s="126"/>
      <c r="M102" s="126"/>
      <c r="N102" s="126"/>
      <c r="O102" s="126"/>
      <c r="P102" s="17"/>
      <c r="Q102" s="17"/>
      <c r="R102" s="17"/>
      <c r="S102" s="17"/>
      <c r="T102" s="17"/>
      <c r="U102" s="17"/>
      <c r="V102" s="17"/>
      <c r="W102" s="17"/>
    </row>
    <row r="103" spans="1:34" customFormat="1" ht="12.75">
      <c r="A103" s="32"/>
      <c r="B103" s="38" t="s">
        <v>127</v>
      </c>
      <c r="C103" s="32"/>
      <c r="D103" s="32"/>
      <c r="E103" s="32"/>
      <c r="F103" s="118"/>
      <c r="G103" s="118"/>
      <c r="H103" s="118"/>
      <c r="I103" s="118"/>
      <c r="J103" s="118"/>
      <c r="K103" s="34"/>
      <c r="L103" s="119"/>
      <c r="M103" s="34"/>
      <c r="N103" s="119"/>
      <c r="O103" s="34"/>
      <c r="P103" s="34"/>
      <c r="Q103" s="34"/>
      <c r="R103" s="34"/>
      <c r="S103" s="34"/>
      <c r="T103" s="34"/>
      <c r="U103" s="34"/>
      <c r="V103" s="34"/>
      <c r="W103" s="34"/>
      <c r="X103" s="35"/>
      <c r="Y103" s="36"/>
      <c r="Z103" s="36"/>
      <c r="AA103" s="36"/>
      <c r="AB103" s="36"/>
      <c r="AC103" s="36"/>
      <c r="AD103" s="36"/>
      <c r="AE103" s="36"/>
      <c r="AF103" s="36"/>
      <c r="AG103" s="37"/>
      <c r="AH103" s="37"/>
    </row>
    <row r="104" spans="1:34" outlineLevel="1">
      <c r="A104" s="17"/>
      <c r="B104" s="17"/>
      <c r="C104" s="17"/>
      <c r="D104" s="120"/>
      <c r="E104" s="120"/>
      <c r="F104" s="120"/>
      <c r="G104" s="121"/>
      <c r="H104" s="121"/>
      <c r="I104" s="120"/>
      <c r="J104" s="120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</row>
    <row r="105" spans="1:34" outlineLevel="1">
      <c r="A105" s="17"/>
      <c r="B105" s="17"/>
      <c r="C105" s="122" t="s">
        <v>128</v>
      </c>
      <c r="D105" s="121" t="s">
        <v>33</v>
      </c>
      <c r="E105" s="121" t="s">
        <v>56</v>
      </c>
      <c r="F105" s="121" t="s">
        <v>60</v>
      </c>
      <c r="G105" s="121"/>
      <c r="H105" s="121"/>
      <c r="I105" s="120"/>
      <c r="J105" s="138" t="str">
        <f t="shared" ref="J105:U105" si="63">IF(YEAR(J$4)&gt;=FPFirstYear,IF(YEAR(J$4)&lt;=FPLastYear,J$4,""),"")</f>
        <v/>
      </c>
      <c r="K105" s="138" t="str">
        <f t="shared" si="63"/>
        <v/>
      </c>
      <c r="L105" s="138" t="str">
        <f t="shared" si="63"/>
        <v/>
      </c>
      <c r="M105" s="138" t="str">
        <f t="shared" si="63"/>
        <v/>
      </c>
      <c r="N105" s="138" t="str">
        <f t="shared" si="63"/>
        <v/>
      </c>
      <c r="O105" s="138" t="str">
        <f t="shared" si="63"/>
        <v/>
      </c>
      <c r="P105" s="138">
        <f t="shared" si="63"/>
        <v>46539</v>
      </c>
      <c r="Q105" s="138">
        <f t="shared" si="63"/>
        <v>46905</v>
      </c>
      <c r="R105" s="138">
        <f t="shared" si="63"/>
        <v>47270</v>
      </c>
      <c r="S105" s="138">
        <f t="shared" si="63"/>
        <v>47635</v>
      </c>
      <c r="T105" s="138">
        <f t="shared" si="63"/>
        <v>48000</v>
      </c>
      <c r="U105" s="138" t="str">
        <f t="shared" si="63"/>
        <v/>
      </c>
      <c r="V105" s="17"/>
      <c r="W105" s="17"/>
    </row>
    <row r="106" spans="1:34" outlineLevel="1">
      <c r="A106" s="17"/>
      <c r="B106" s="17"/>
      <c r="C106" s="125"/>
      <c r="D106" s="120"/>
      <c r="E106" s="120"/>
      <c r="F106" s="120"/>
      <c r="G106" s="121"/>
      <c r="H106" s="121"/>
      <c r="I106" s="120"/>
      <c r="J106" s="120"/>
      <c r="K106" s="126"/>
      <c r="L106" s="126"/>
      <c r="M106" s="126"/>
      <c r="N106" s="126"/>
      <c r="O106" s="126"/>
      <c r="P106" s="17"/>
      <c r="Q106" s="17"/>
      <c r="R106" s="17"/>
      <c r="S106" s="17"/>
      <c r="T106" s="17"/>
      <c r="U106" s="17"/>
      <c r="V106" s="17"/>
      <c r="W106" s="17"/>
    </row>
    <row r="107" spans="1:34" outlineLevel="1">
      <c r="A107" s="17"/>
      <c r="B107" s="17"/>
      <c r="C107" s="167" t="s">
        <v>129</v>
      </c>
      <c r="D107" s="120" t="s">
        <v>104</v>
      </c>
      <c r="E107" s="120" t="str">
        <f>percent</f>
        <v>Per cent</v>
      </c>
      <c r="F107" s="120" t="s">
        <v>110</v>
      </c>
      <c r="G107" s="121"/>
      <c r="H107" s="121"/>
      <c r="I107" s="120"/>
      <c r="J107" s="168"/>
      <c r="K107" s="168"/>
      <c r="L107" s="168"/>
      <c r="M107" s="168"/>
      <c r="N107" s="168"/>
      <c r="O107" s="168"/>
      <c r="P107" s="168">
        <v>0</v>
      </c>
      <c r="Q107" s="168">
        <v>0</v>
      </c>
      <c r="R107" s="168">
        <v>0</v>
      </c>
      <c r="S107" s="168">
        <v>0</v>
      </c>
      <c r="T107" s="168">
        <v>0</v>
      </c>
      <c r="U107" s="168"/>
      <c r="V107" s="192"/>
      <c r="W107" s="17"/>
    </row>
    <row r="108" spans="1:34" outlineLevel="1">
      <c r="A108" s="17"/>
      <c r="B108" s="17"/>
      <c r="C108" s="125"/>
      <c r="D108" s="120"/>
      <c r="E108" s="120"/>
      <c r="F108" s="120"/>
      <c r="G108" s="121"/>
      <c r="H108" s="121"/>
      <c r="I108" s="120"/>
      <c r="J108" s="120"/>
      <c r="K108" s="126"/>
      <c r="L108" s="126"/>
      <c r="M108" s="126"/>
      <c r="N108" s="126"/>
      <c r="O108" s="126"/>
      <c r="P108" s="176"/>
      <c r="Q108" s="176"/>
      <c r="R108" s="176"/>
      <c r="S108" s="176"/>
      <c r="T108" s="176"/>
      <c r="U108" s="176"/>
      <c r="V108" s="17"/>
      <c r="W108" s="17"/>
    </row>
    <row r="109" spans="1:34" outlineLevel="1">
      <c r="A109" s="17"/>
      <c r="B109" s="17"/>
      <c r="C109" s="17" t="s">
        <v>108</v>
      </c>
      <c r="D109" s="120" t="s">
        <v>98</v>
      </c>
      <c r="E109" s="120" t="s">
        <v>109</v>
      </c>
      <c r="F109" s="120" t="s">
        <v>110</v>
      </c>
      <c r="G109" s="120"/>
      <c r="H109" s="120"/>
      <c r="I109" s="120"/>
      <c r="J109" s="165" t="str">
        <f t="shared" ref="J109:S109" si="64">IF(J105=J$4,IF(ISBLANK(J107),"Check","Ok"),"")</f>
        <v/>
      </c>
      <c r="K109" s="165" t="str">
        <f t="shared" si="64"/>
        <v/>
      </c>
      <c r="L109" s="165" t="str">
        <f t="shared" si="64"/>
        <v/>
      </c>
      <c r="M109" s="165" t="str">
        <f t="shared" si="64"/>
        <v/>
      </c>
      <c r="N109" s="165" t="str">
        <f t="shared" si="64"/>
        <v/>
      </c>
      <c r="O109" s="165" t="str">
        <f t="shared" si="64"/>
        <v/>
      </c>
      <c r="P109" s="165" t="str">
        <f t="shared" si="64"/>
        <v>Ok</v>
      </c>
      <c r="Q109" s="165" t="str">
        <f t="shared" si="64"/>
        <v>Ok</v>
      </c>
      <c r="R109" s="165" t="str">
        <f t="shared" si="64"/>
        <v>Ok</v>
      </c>
      <c r="S109" s="165" t="str">
        <f t="shared" si="64"/>
        <v>Ok</v>
      </c>
      <c r="T109" s="165" t="str">
        <f>IF(T105=T$4,IF(ISBLANK(T107),"Check","Ok"),"")</f>
        <v>Ok</v>
      </c>
      <c r="U109" s="165" t="str">
        <f>IF(U105=U$4,IF(ISBLANK(U107),"Check","Ok"),"")</f>
        <v/>
      </c>
      <c r="V109" s="166"/>
      <c r="W109" s="17"/>
      <c r="X109" s="81" t="str">
        <f>IF(COUNTIF(J109:T109,"Check")=0,"Ok","Check")</f>
        <v>Ok</v>
      </c>
    </row>
    <row r="110" spans="1:34" outlineLevel="1">
      <c r="A110" s="17"/>
      <c r="B110" s="17"/>
      <c r="C110" s="125"/>
      <c r="D110" s="120"/>
      <c r="E110" s="120"/>
      <c r="F110" s="120"/>
      <c r="G110" s="121"/>
      <c r="H110" s="121"/>
      <c r="I110" s="120"/>
      <c r="J110" s="120"/>
      <c r="K110" s="126"/>
      <c r="L110" s="126"/>
      <c r="M110" s="126"/>
      <c r="N110" s="126"/>
      <c r="O110" s="126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2.75">
      <c r="A111" s="32"/>
      <c r="B111" s="38" t="s">
        <v>23</v>
      </c>
      <c r="C111" s="32"/>
      <c r="D111" s="32"/>
      <c r="E111" s="32"/>
      <c r="F111" s="118"/>
      <c r="G111" s="118"/>
      <c r="H111" s="118"/>
      <c r="I111" s="118"/>
      <c r="J111" s="118"/>
      <c r="K111" s="34"/>
      <c r="L111" s="119"/>
      <c r="M111" s="34"/>
      <c r="N111" s="119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/>
    <row r="113"/>
    <row r="114"/>
    <row r="115"/>
    <row r="116"/>
    <row r="117"/>
  </sheetData>
  <mergeCells count="2">
    <mergeCell ref="K3:M3"/>
    <mergeCell ref="O3:T3"/>
  </mergeCells>
  <conditionalFormatting sqref="J38:O38 T38 J39:T40 J41:U45">
    <cfRule type="expression" dxfId="102" priority="59">
      <formula>J$36=J$4</formula>
    </cfRule>
  </conditionalFormatting>
  <conditionalFormatting sqref="J16:U22">
    <cfRule type="cellIs" dxfId="101" priority="26" operator="equal">
      <formula>0</formula>
    </cfRule>
  </conditionalFormatting>
  <conditionalFormatting sqref="J26:U32">
    <cfRule type="cellIs" dxfId="100" priority="27" operator="equal">
      <formula>0</formula>
    </cfRule>
  </conditionalFormatting>
  <conditionalFormatting sqref="J36:U36">
    <cfRule type="expression" dxfId="99" priority="61">
      <formula>J$36=J$4</formula>
    </cfRule>
  </conditionalFormatting>
  <conditionalFormatting sqref="J47:U47">
    <cfRule type="cellIs" dxfId="98" priority="47" operator="equal">
      <formula>"Ok"</formula>
    </cfRule>
    <cfRule type="cellIs" dxfId="97" priority="46" operator="equal">
      <formula>"Check"</formula>
    </cfRule>
  </conditionalFormatting>
  <conditionalFormatting sqref="J49:U49">
    <cfRule type="expression" dxfId="96" priority="31">
      <formula>J$36=J$4</formula>
    </cfRule>
  </conditionalFormatting>
  <conditionalFormatting sqref="J51:U58">
    <cfRule type="expression" dxfId="95" priority="12">
      <formula>J$49=J$4</formula>
    </cfRule>
  </conditionalFormatting>
  <conditionalFormatting sqref="J60:U60">
    <cfRule type="cellIs" dxfId="94" priority="71" operator="equal">
      <formula>"Ok"</formula>
    </cfRule>
    <cfRule type="cellIs" dxfId="93" priority="70" operator="equal">
      <formula>"Check"</formula>
    </cfRule>
  </conditionalFormatting>
  <conditionalFormatting sqref="J64:U64">
    <cfRule type="expression" dxfId="92" priority="36">
      <formula>J$64=J$4</formula>
    </cfRule>
  </conditionalFormatting>
  <conditionalFormatting sqref="J66:U71">
    <cfRule type="expression" dxfId="91" priority="34">
      <formula>J$64=J$4</formula>
    </cfRule>
  </conditionalFormatting>
  <conditionalFormatting sqref="J73:U73">
    <cfRule type="cellIs" dxfId="90" priority="42" operator="equal">
      <formula>"Check"</formula>
    </cfRule>
    <cfRule type="cellIs" dxfId="89" priority="43" operator="equal">
      <formula>"Ok"</formula>
    </cfRule>
  </conditionalFormatting>
  <conditionalFormatting sqref="J75:U75">
    <cfRule type="expression" dxfId="88" priority="30">
      <formula>J$36=J$4</formula>
    </cfRule>
  </conditionalFormatting>
  <conditionalFormatting sqref="J93:U93">
    <cfRule type="expression" dxfId="87" priority="183">
      <formula>J$93=J$4</formula>
    </cfRule>
  </conditionalFormatting>
  <conditionalFormatting sqref="J94:U94">
    <cfRule type="cellIs" dxfId="86" priority="19" operator="equal">
      <formula>"Check"</formula>
    </cfRule>
    <cfRule type="cellIs" dxfId="85" priority="20" operator="equal">
      <formula>"Ok"</formula>
    </cfRule>
  </conditionalFormatting>
  <conditionalFormatting sqref="J105:U105">
    <cfRule type="expression" dxfId="84" priority="29">
      <formula>J$36=J$4</formula>
    </cfRule>
  </conditionalFormatting>
  <conditionalFormatting sqref="J107:U107">
    <cfRule type="expression" dxfId="83" priority="1">
      <formula>J$105=J$4</formula>
    </cfRule>
  </conditionalFormatting>
  <conditionalFormatting sqref="J109:U109">
    <cfRule type="cellIs" dxfId="82" priority="50" operator="equal">
      <formula>"Check"</formula>
    </cfRule>
    <cfRule type="cellIs" dxfId="81" priority="51" operator="equal">
      <formula>"Ok"</formula>
    </cfRule>
  </conditionalFormatting>
  <conditionalFormatting sqref="P38:T45">
    <cfRule type="expression" dxfId="80" priority="14">
      <formula>P$36=P$4</formula>
    </cfRule>
  </conditionalFormatting>
  <conditionalFormatting sqref="T1:U1">
    <cfRule type="cellIs" dxfId="79" priority="90" operator="equal">
      <formula>"Check"</formula>
    </cfRule>
    <cfRule type="cellIs" dxfId="78" priority="91" operator="equal">
      <formula>"Ok"</formula>
    </cfRule>
  </conditionalFormatting>
  <conditionalFormatting sqref="X1 X93:X101">
    <cfRule type="cellIs" dxfId="77" priority="126" operator="equal">
      <formula>"Check"</formula>
    </cfRule>
    <cfRule type="cellIs" dxfId="76" priority="127" operator="equal">
      <formula>"Ok"</formula>
    </cfRule>
  </conditionalFormatting>
  <conditionalFormatting sqref="X47">
    <cfRule type="cellIs" dxfId="75" priority="48" operator="equal">
      <formula>"Check"</formula>
    </cfRule>
    <cfRule type="cellIs" dxfId="74" priority="49" operator="equal">
      <formula>"Ok"</formula>
    </cfRule>
  </conditionalFormatting>
  <conditionalFormatting sqref="X60">
    <cfRule type="cellIs" dxfId="73" priority="78" operator="equal">
      <formula>"Check"</formula>
    </cfRule>
    <cfRule type="cellIs" dxfId="72" priority="79" operator="equal">
      <formula>"Ok"</formula>
    </cfRule>
  </conditionalFormatting>
  <conditionalFormatting sqref="X73">
    <cfRule type="cellIs" dxfId="71" priority="45" operator="equal">
      <formula>"Ok"</formula>
    </cfRule>
    <cfRule type="cellIs" dxfId="70" priority="44" operator="equal">
      <formula>"Check"</formula>
    </cfRule>
  </conditionalFormatting>
  <conditionalFormatting sqref="X109">
    <cfRule type="cellIs" dxfId="69" priority="52" operator="equal">
      <formula>"Check"</formula>
    </cfRule>
    <cfRule type="cellIs" dxfId="68" priority="53" operator="equal">
      <formula>"Ok"</formula>
    </cfRule>
  </conditionalFormatting>
  <dataValidations count="2">
    <dataValidation type="list" allowBlank="1" showInputMessage="1" showErrorMessage="1" sqref="F110 F74 F102 F85 F83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topLeftCell="A3" zoomScaleNormal="100" workbookViewId="0">
      <selection activeCell="J28" sqref="J28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24</v>
      </c>
      <c r="L1" s="28" t="s">
        <v>25</v>
      </c>
      <c r="M1" s="46" t="s">
        <v>26</v>
      </c>
      <c r="N1" s="11" t="s">
        <v>27</v>
      </c>
      <c r="O1" s="12" t="s">
        <v>28</v>
      </c>
      <c r="R1" s="28" t="s">
        <v>29</v>
      </c>
      <c r="S1" s="29" t="str">
        <f>IF(COUNTA($W$8:$W$237)=COUNTIF($W$8:$W$237,"OK"),"OK","Check")</f>
        <v>OK</v>
      </c>
      <c r="U1" s="185" t="s">
        <v>30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41</v>
      </c>
      <c r="K3" s="100"/>
      <c r="L3" s="100"/>
      <c r="M3" s="105"/>
      <c r="N3" s="203"/>
      <c r="O3" s="203"/>
      <c r="P3" s="203"/>
      <c r="Q3" s="203"/>
      <c r="R3" s="203"/>
      <c r="S3" s="203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33</v>
      </c>
      <c r="E4" s="56" t="s">
        <v>56</v>
      </c>
      <c r="F4" s="144" t="s">
        <v>60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77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130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131</v>
      </c>
      <c r="D10" s="121" t="s">
        <v>33</v>
      </c>
      <c r="E10" s="121" t="s">
        <v>56</v>
      </c>
      <c r="F10" s="121" t="s">
        <v>60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92"/>
      <c r="Q11" s="192"/>
      <c r="R11" s="192"/>
      <c r="S11" s="192"/>
      <c r="T11" s="17"/>
      <c r="U11" s="17"/>
      <c r="V11" s="17"/>
    </row>
    <row r="12" spans="1:30" outlineLevel="1">
      <c r="A12" s="17"/>
      <c r="B12" s="17"/>
      <c r="C12" s="127" t="s">
        <v>132</v>
      </c>
      <c r="D12" s="120" t="s">
        <v>133</v>
      </c>
      <c r="E12" s="120" t="str">
        <f t="shared" ref="E12:E20" si="1">units</f>
        <v>$millions</v>
      </c>
      <c r="F12" s="139">
        <f t="shared" ref="F12:F20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78">
        <v>0.37638700000000003</v>
      </c>
      <c r="P12" s="178">
        <v>0.27814</v>
      </c>
      <c r="Q12" s="178">
        <v>0.27994599999999997</v>
      </c>
      <c r="R12" s="178">
        <v>0.281806</v>
      </c>
      <c r="S12" s="178">
        <v>0.28372199999999997</v>
      </c>
      <c r="T12" s="178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/>
      <c r="D13" s="120" t="s">
        <v>39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78"/>
      <c r="P13" s="178"/>
      <c r="Q13" s="178"/>
      <c r="R13" s="178"/>
      <c r="S13" s="178"/>
      <c r="T13" s="178"/>
      <c r="U13" s="17"/>
      <c r="V13" s="17"/>
      <c r="W13" s="81" t="str">
        <f t="shared" ref="W13:W20" si="3">IF(ISBLANK(C13),IF(COUNT(J13:T13)=0,"Ok","Check"),IF(COUNT(J13:T13)=COUNT(J$10:T$10),"Ok","Check"))</f>
        <v>Ok</v>
      </c>
    </row>
    <row r="14" spans="1:30" outlineLevel="1">
      <c r="A14" s="17"/>
      <c r="B14" s="17"/>
      <c r="C14" s="127"/>
      <c r="D14" s="120" t="s">
        <v>39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78"/>
      <c r="P14" s="178"/>
      <c r="Q14" s="178"/>
      <c r="R14" s="178"/>
      <c r="S14" s="178"/>
      <c r="T14" s="178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/>
      <c r="D15" s="120" t="s">
        <v>39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78"/>
      <c r="P15" s="178"/>
      <c r="Q15" s="178"/>
      <c r="R15" s="178"/>
      <c r="S15" s="178"/>
      <c r="T15" s="178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/>
      <c r="D16" s="120" t="s">
        <v>39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79"/>
      <c r="P16" s="179"/>
      <c r="Q16" s="179"/>
      <c r="R16" s="179"/>
      <c r="S16" s="179"/>
      <c r="T16" s="178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/>
      <c r="D17" s="120" t="s">
        <v>39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78"/>
      <c r="P17" s="178"/>
      <c r="Q17" s="178"/>
      <c r="R17" s="178"/>
      <c r="S17" s="178"/>
      <c r="T17" s="178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/>
      <c r="D18" s="120" t="s">
        <v>39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78"/>
      <c r="P18" s="178"/>
      <c r="Q18" s="178"/>
      <c r="R18" s="178"/>
      <c r="S18" s="178"/>
      <c r="T18" s="178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/>
      <c r="D19" s="120" t="s">
        <v>39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78"/>
      <c r="P19" s="178"/>
      <c r="Q19" s="178"/>
      <c r="R19" s="178"/>
      <c r="S19" s="178"/>
      <c r="T19" s="178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/>
      <c r="D20" s="120" t="s">
        <v>39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78"/>
      <c r="P20" s="178"/>
      <c r="Q20" s="178"/>
      <c r="R20" s="178"/>
      <c r="S20" s="178"/>
      <c r="T20" s="178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outlineLevel="1">
      <c r="A22" s="17"/>
      <c r="B22" s="17"/>
      <c r="C22" s="17" t="s">
        <v>108</v>
      </c>
      <c r="D22" s="120" t="s">
        <v>98</v>
      </c>
      <c r="E22" s="120" t="s">
        <v>109</v>
      </c>
      <c r="F22" s="120" t="s">
        <v>110</v>
      </c>
      <c r="G22" s="120"/>
      <c r="H22" s="120"/>
      <c r="I22" s="120"/>
      <c r="J22" s="165" t="str">
        <f t="shared" ref="J22:S22" si="4">IF(J10=J4,IF(COUNTA($C12:$C20)=COUNT(J12:J20),"Ok","Check"),"")</f>
        <v/>
      </c>
      <c r="K22" s="165" t="str">
        <f t="shared" si="4"/>
        <v/>
      </c>
      <c r="L22" s="165" t="str">
        <f t="shared" si="4"/>
        <v/>
      </c>
      <c r="M22" s="165" t="str">
        <f t="shared" si="4"/>
        <v/>
      </c>
      <c r="N22" s="165" t="str">
        <f t="shared" si="4"/>
        <v/>
      </c>
      <c r="O22" s="165" t="str">
        <f t="shared" si="4"/>
        <v>Ok</v>
      </c>
      <c r="P22" s="165" t="str">
        <f t="shared" si="4"/>
        <v>Ok</v>
      </c>
      <c r="Q22" s="165" t="str">
        <f t="shared" si="4"/>
        <v>Ok</v>
      </c>
      <c r="R22" s="165" t="str">
        <f t="shared" si="4"/>
        <v>Ok</v>
      </c>
      <c r="S22" s="165" t="str">
        <f t="shared" si="4"/>
        <v>Ok</v>
      </c>
      <c r="T22" s="165" t="str">
        <f t="shared" ref="T22" si="5">IF(T10=T4,IF(COUNTA($C12:$C20)=COUNT(T12:T20),"Ok","Check"),"")</f>
        <v/>
      </c>
      <c r="U22" s="166"/>
      <c r="V22" s="17"/>
      <c r="W22" s="81" t="str">
        <f>IF(COUNTIF(J22:T22,"Check")=0,"Ok","Check")</f>
        <v>Ok</v>
      </c>
    </row>
    <row r="23" spans="1:30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customFormat="1" ht="12.75">
      <c r="A24" s="32"/>
      <c r="B24" s="38" t="s">
        <v>134</v>
      </c>
      <c r="C24" s="32"/>
      <c r="D24" s="32"/>
      <c r="E24" s="32"/>
      <c r="F24" s="118"/>
      <c r="G24" s="118"/>
      <c r="H24" s="118"/>
      <c r="I24" s="118"/>
      <c r="J24" s="34"/>
      <c r="K24" s="119"/>
      <c r="L24" s="34"/>
      <c r="M24" s="119"/>
      <c r="N24" s="34"/>
      <c r="O24" s="34"/>
      <c r="P24" s="34"/>
      <c r="Q24" s="34"/>
      <c r="R24" s="34"/>
      <c r="S24" s="34"/>
      <c r="T24" s="34"/>
      <c r="U24" s="34"/>
      <c r="V24" s="119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2" t="s">
        <v>135</v>
      </c>
      <c r="D26" s="121" t="s">
        <v>33</v>
      </c>
      <c r="E26" s="121" t="s">
        <v>56</v>
      </c>
      <c r="F26" s="121" t="s">
        <v>60</v>
      </c>
      <c r="G26" s="121"/>
      <c r="H26" s="121"/>
      <c r="I26" s="120"/>
      <c r="J26" s="138" t="str">
        <f t="shared" ref="J26:T26" si="6">IF(YEAR(J$4)&gt;=FPFirstYear,IF(YEAR(J$4)&lt;=FPLastYear,J$4,""),"")</f>
        <v/>
      </c>
      <c r="K26" s="138" t="str">
        <f t="shared" si="6"/>
        <v/>
      </c>
      <c r="L26" s="138" t="str">
        <f t="shared" si="6"/>
        <v/>
      </c>
      <c r="M26" s="138" t="str">
        <f t="shared" si="6"/>
        <v/>
      </c>
      <c r="N26" s="138" t="str">
        <f t="shared" si="6"/>
        <v/>
      </c>
      <c r="O26" s="138">
        <f t="shared" si="6"/>
        <v>46539</v>
      </c>
      <c r="P26" s="138">
        <f t="shared" si="6"/>
        <v>46905</v>
      </c>
      <c r="Q26" s="138">
        <f t="shared" si="6"/>
        <v>47270</v>
      </c>
      <c r="R26" s="138">
        <f t="shared" si="6"/>
        <v>47635</v>
      </c>
      <c r="S26" s="138">
        <f t="shared" si="6"/>
        <v>48000</v>
      </c>
      <c r="T26" s="138" t="str">
        <f t="shared" si="6"/>
        <v/>
      </c>
      <c r="U26" s="17"/>
      <c r="V26" s="1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80" t="s">
        <v>70</v>
      </c>
      <c r="D28" s="120" t="s">
        <v>133</v>
      </c>
      <c r="E28" s="120" t="str">
        <f>units</f>
        <v>$millions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158"/>
      <c r="N28" s="178"/>
      <c r="O28" s="178">
        <v>2.3585963305363022</v>
      </c>
      <c r="P28" s="178">
        <v>2.0596098578591686</v>
      </c>
      <c r="Q28" s="178">
        <v>1.9373632410959929</v>
      </c>
      <c r="R28" s="178">
        <v>1.7359295135202661</v>
      </c>
      <c r="S28" s="178">
        <v>1.5640183954642275</v>
      </c>
      <c r="T28" s="178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80" t="s">
        <v>136</v>
      </c>
      <c r="D29" s="120" t="s">
        <v>133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78"/>
      <c r="O29" s="178">
        <v>9.0750989236742257</v>
      </c>
      <c r="P29" s="178">
        <v>9.0274543249254737</v>
      </c>
      <c r="Q29" s="178">
        <v>8.9809256675730609</v>
      </c>
      <c r="R29" s="178">
        <v>8.9440575085842227</v>
      </c>
      <c r="S29" s="178">
        <v>8.9092610615499321</v>
      </c>
      <c r="T29" s="178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27" t="s">
        <v>137</v>
      </c>
      <c r="D30" s="120" t="s">
        <v>39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78"/>
      <c r="O30" s="178">
        <v>0.7466463203518785</v>
      </c>
      <c r="P30" s="178">
        <v>0.75243282933460554</v>
      </c>
      <c r="Q30" s="178">
        <v>0.7582641837619486</v>
      </c>
      <c r="R30" s="178">
        <v>0.76414073118610371</v>
      </c>
      <c r="S30" s="178">
        <v>0.77006282185279584</v>
      </c>
      <c r="T30" s="178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1"/>
      <c r="D31" s="120" t="s">
        <v>39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78"/>
      <c r="O31" s="178"/>
      <c r="P31" s="178"/>
      <c r="Q31" s="178"/>
      <c r="R31" s="178"/>
      <c r="S31" s="178"/>
      <c r="T31" s="178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/>
      <c r="D32" s="120" t="s">
        <v>39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78"/>
      <c r="O32" s="178"/>
      <c r="P32" s="178"/>
      <c r="Q32" s="178"/>
      <c r="R32" s="178"/>
      <c r="S32" s="178"/>
      <c r="T32" s="178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7"/>
      <c r="D33" s="120"/>
      <c r="E33" s="120"/>
      <c r="F33" s="120"/>
      <c r="G33" s="121"/>
      <c r="H33" s="121"/>
      <c r="I33" s="120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30" outlineLevel="1">
      <c r="A34" s="17"/>
      <c r="B34" s="17"/>
      <c r="C34" s="17" t="s">
        <v>108</v>
      </c>
      <c r="D34" s="120" t="s">
        <v>98</v>
      </c>
      <c r="E34" s="120" t="s">
        <v>109</v>
      </c>
      <c r="F34" s="120" t="s">
        <v>110</v>
      </c>
      <c r="G34" s="120"/>
      <c r="H34" s="120"/>
      <c r="I34" s="120"/>
      <c r="J34" s="165" t="str">
        <f t="shared" ref="J34:T34" si="7">IF(J26=J4,IF(COUNTA($C28:$C32)=COUNT(J28:J32),"Ok","Check"),"")</f>
        <v/>
      </c>
      <c r="K34" s="165" t="str">
        <f t="shared" si="7"/>
        <v/>
      </c>
      <c r="L34" s="165" t="str">
        <f t="shared" si="7"/>
        <v/>
      </c>
      <c r="M34" s="165" t="str">
        <f t="shared" si="7"/>
        <v/>
      </c>
      <c r="N34" s="165" t="str">
        <f t="shared" si="7"/>
        <v/>
      </c>
      <c r="O34" s="165" t="str">
        <f t="shared" si="7"/>
        <v>Ok</v>
      </c>
      <c r="P34" s="165" t="str">
        <f t="shared" si="7"/>
        <v>Ok</v>
      </c>
      <c r="Q34" s="165" t="str">
        <f t="shared" si="7"/>
        <v>Ok</v>
      </c>
      <c r="R34" s="165" t="str">
        <f t="shared" si="7"/>
        <v>Ok</v>
      </c>
      <c r="S34" s="165" t="str">
        <f t="shared" si="7"/>
        <v>Ok</v>
      </c>
      <c r="T34" s="165" t="str">
        <f t="shared" si="7"/>
        <v/>
      </c>
      <c r="U34" s="166"/>
      <c r="V34" s="17"/>
      <c r="W34" s="81" t="str">
        <f>IF(COUNTIF(J34:T34,"Check")=0,"Ok","Check")</f>
        <v>Ok</v>
      </c>
    </row>
    <row r="35" spans="1:30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customFormat="1" ht="12.75">
      <c r="A36" s="32"/>
      <c r="B36" s="38" t="s">
        <v>138</v>
      </c>
      <c r="C36" s="32"/>
      <c r="D36" s="32"/>
      <c r="E36" s="32"/>
      <c r="F36" s="118"/>
      <c r="G36" s="118"/>
      <c r="H36" s="118"/>
      <c r="I36" s="118"/>
      <c r="J36" s="34"/>
      <c r="K36" s="119"/>
      <c r="L36" s="34"/>
      <c r="M36" s="119"/>
      <c r="N36" s="34"/>
      <c r="O36" s="34"/>
      <c r="P36" s="34"/>
      <c r="Q36" s="34"/>
      <c r="R36" s="34"/>
      <c r="S36" s="34"/>
      <c r="T36" s="34"/>
      <c r="U36" s="34"/>
      <c r="V36" s="119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outlineLevel="1">
      <c r="A38" s="17"/>
      <c r="B38" s="17"/>
      <c r="C38" s="122" t="s">
        <v>139</v>
      </c>
      <c r="D38" s="121" t="s">
        <v>33</v>
      </c>
      <c r="E38" s="121" t="s">
        <v>56</v>
      </c>
      <c r="F38" s="121" t="s">
        <v>60</v>
      </c>
      <c r="G38" s="121"/>
      <c r="H38" s="121"/>
      <c r="I38" s="120"/>
      <c r="J38" s="138" t="str">
        <f t="shared" ref="J38:T38" si="8">IF(YEAR(J$4)&gt;=FPFirstYear,IF(YEAR(J$4)&lt;=FPLastYear,J$4,""),"")</f>
        <v/>
      </c>
      <c r="K38" s="138" t="str">
        <f t="shared" si="8"/>
        <v/>
      </c>
      <c r="L38" s="138" t="str">
        <f t="shared" si="8"/>
        <v/>
      </c>
      <c r="M38" s="138" t="str">
        <f t="shared" si="8"/>
        <v/>
      </c>
      <c r="N38" s="138" t="str">
        <f t="shared" si="8"/>
        <v/>
      </c>
      <c r="O38" s="138">
        <f t="shared" si="8"/>
        <v>46539</v>
      </c>
      <c r="P38" s="138">
        <f t="shared" si="8"/>
        <v>46905</v>
      </c>
      <c r="Q38" s="138">
        <f t="shared" si="8"/>
        <v>47270</v>
      </c>
      <c r="R38" s="138">
        <f t="shared" si="8"/>
        <v>47635</v>
      </c>
      <c r="S38" s="138">
        <f t="shared" si="8"/>
        <v>48000</v>
      </c>
      <c r="T38" s="138" t="str">
        <f t="shared" si="8"/>
        <v/>
      </c>
      <c r="U38" s="17"/>
      <c r="V38" s="1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5" t="s">
        <v>71</v>
      </c>
      <c r="D40" s="120" t="s">
        <v>140</v>
      </c>
      <c r="E40" s="120" t="s">
        <v>48</v>
      </c>
      <c r="F40" s="139">
        <f>DATE(PPLastYear,MONTH(month),1)</f>
        <v>46174</v>
      </c>
      <c r="G40" s="121"/>
      <c r="H40" s="121"/>
      <c r="I40" s="121"/>
      <c r="J40" s="178"/>
      <c r="K40" s="178"/>
      <c r="L40" s="178"/>
      <c r="M40" s="178"/>
      <c r="N40" s="178"/>
      <c r="O40" s="178">
        <v>0.24686139802396581</v>
      </c>
      <c r="P40" s="178">
        <v>0.23230658868754897</v>
      </c>
      <c r="Q40" s="178">
        <v>0.21720952467316298</v>
      </c>
      <c r="R40" s="178">
        <v>0.20136802259660577</v>
      </c>
      <c r="S40" s="178">
        <v>0.18585526722354689</v>
      </c>
      <c r="T40" s="178"/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7" t="s">
        <v>108</v>
      </c>
      <c r="D42" s="120" t="s">
        <v>98</v>
      </c>
      <c r="E42" s="120" t="s">
        <v>109</v>
      </c>
      <c r="F42" s="120" t="s">
        <v>110</v>
      </c>
      <c r="G42" s="120"/>
      <c r="H42" s="120"/>
      <c r="I42" s="120"/>
      <c r="J42" s="165" t="str">
        <f t="shared" ref="J42:T42" si="9">IF(J38=J4,IF(ISBLANK(J40),"Check","Ok"),"")</f>
        <v/>
      </c>
      <c r="K42" s="165" t="str">
        <f t="shared" si="9"/>
        <v/>
      </c>
      <c r="L42" s="165" t="str">
        <f t="shared" si="9"/>
        <v/>
      </c>
      <c r="M42" s="165" t="str">
        <f t="shared" si="9"/>
        <v/>
      </c>
      <c r="N42" s="165" t="str">
        <f t="shared" si="9"/>
        <v/>
      </c>
      <c r="O42" s="165" t="str">
        <f t="shared" si="9"/>
        <v>Ok</v>
      </c>
      <c r="P42" s="165" t="str">
        <f t="shared" si="9"/>
        <v>Ok</v>
      </c>
      <c r="Q42" s="165" t="str">
        <f t="shared" si="9"/>
        <v>Ok</v>
      </c>
      <c r="R42" s="165" t="str">
        <f t="shared" si="9"/>
        <v>Ok</v>
      </c>
      <c r="S42" s="165" t="str">
        <f t="shared" si="9"/>
        <v>Ok</v>
      </c>
      <c r="T42" s="165" t="str">
        <f t="shared" si="9"/>
        <v/>
      </c>
      <c r="U42" s="166"/>
      <c r="V42" s="17"/>
      <c r="W42" s="81" t="str">
        <f>IF(COUNTIF(J42:T42,"Check")=0,"Ok","Check")</f>
        <v>Ok</v>
      </c>
    </row>
    <row r="43" spans="1:30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customFormat="1" ht="12.75">
      <c r="A44" s="32"/>
      <c r="B44" s="38" t="s">
        <v>23</v>
      </c>
      <c r="C44" s="32"/>
      <c r="D44" s="32"/>
      <c r="E44" s="32"/>
      <c r="F44" s="118"/>
      <c r="G44" s="118"/>
      <c r="H44" s="118"/>
      <c r="I44" s="118"/>
      <c r="J44" s="34"/>
      <c r="K44" s="119"/>
      <c r="L44" s="34"/>
      <c r="M44" s="119"/>
      <c r="N44" s="34"/>
      <c r="O44" s="34"/>
      <c r="P44" s="34"/>
      <c r="Q44" s="34"/>
      <c r="R44" s="34"/>
      <c r="S44" s="34"/>
      <c r="T44" s="34"/>
      <c r="U44" s="34"/>
      <c r="V44" s="119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67" priority="26">
      <formula>J$26=J$4</formula>
    </cfRule>
  </conditionalFormatting>
  <conditionalFormatting sqref="J10:T10">
    <cfRule type="expression" dxfId="66" priority="38">
      <formula>J$10=J$4</formula>
    </cfRule>
  </conditionalFormatting>
  <conditionalFormatting sqref="J12:T20">
    <cfRule type="expression" dxfId="65" priority="14">
      <formula>J$10=J$4</formula>
    </cfRule>
  </conditionalFormatting>
  <conditionalFormatting sqref="J22:T22">
    <cfRule type="cellIs" dxfId="64" priority="31" operator="equal">
      <formula>"Check"</formula>
    </cfRule>
    <cfRule type="cellIs" dxfId="63" priority="32" operator="equal">
      <formula>"Ok"</formula>
    </cfRule>
  </conditionalFormatting>
  <conditionalFormatting sqref="J26:T26">
    <cfRule type="expression" dxfId="62" priority="16">
      <formula>J$10=J$4</formula>
    </cfRule>
  </conditionalFormatting>
  <conditionalFormatting sqref="J34:T34">
    <cfRule type="cellIs" dxfId="61" priority="27" operator="equal">
      <formula>"Check"</formula>
    </cfRule>
    <cfRule type="cellIs" dxfId="60" priority="28" operator="equal">
      <formula>"Ok"</formula>
    </cfRule>
  </conditionalFormatting>
  <conditionalFormatting sqref="J38:T38">
    <cfRule type="expression" dxfId="59" priority="15">
      <formula>J$10=J$4</formula>
    </cfRule>
  </conditionalFormatting>
  <conditionalFormatting sqref="J40:T40">
    <cfRule type="expression" dxfId="58" priority="17">
      <formula>J$38=J$4</formula>
    </cfRule>
  </conditionalFormatting>
  <conditionalFormatting sqref="J42:T42">
    <cfRule type="cellIs" dxfId="57" priority="22" operator="equal">
      <formula>"Check"</formula>
    </cfRule>
    <cfRule type="cellIs" dxfId="56" priority="23" operator="equal">
      <formula>"Ok"</formula>
    </cfRule>
  </conditionalFormatting>
  <conditionalFormatting sqref="N28:N32">
    <cfRule type="expression" dxfId="55" priority="20">
      <formula>N$10=N$4</formula>
    </cfRule>
  </conditionalFormatting>
  <conditionalFormatting sqref="O28:T30">
    <cfRule type="expression" dxfId="54" priority="1">
      <formula>O$10=O$4</formula>
    </cfRule>
  </conditionalFormatting>
  <conditionalFormatting sqref="P31:T32">
    <cfRule type="expression" dxfId="53" priority="21">
      <formula>P$10=P$4</formula>
    </cfRule>
  </conditionalFormatting>
  <conditionalFormatting sqref="S1">
    <cfRule type="cellIs" dxfId="52" priority="40" operator="equal">
      <formula>"Check"</formula>
    </cfRule>
    <cfRule type="cellIs" dxfId="51" priority="41" operator="equal">
      <formula>"Ok"</formula>
    </cfRule>
  </conditionalFormatting>
  <conditionalFormatting sqref="V1">
    <cfRule type="cellIs" dxfId="50" priority="42" operator="equal">
      <formula>"Check"</formula>
    </cfRule>
    <cfRule type="cellIs" dxfId="49" priority="43" operator="equal">
      <formula>"Ok"</formula>
    </cfRule>
  </conditionalFormatting>
  <conditionalFormatting sqref="W12:W20">
    <cfRule type="cellIs" dxfId="48" priority="12" operator="equal">
      <formula>"Check"</formula>
    </cfRule>
    <cfRule type="cellIs" dxfId="47" priority="13" operator="equal">
      <formula>"Ok"</formula>
    </cfRule>
  </conditionalFormatting>
  <conditionalFormatting sqref="W22">
    <cfRule type="cellIs" dxfId="46" priority="33" operator="equal">
      <formula>"Check"</formula>
    </cfRule>
    <cfRule type="cellIs" dxfId="45" priority="34" operator="equal">
      <formula>"Ok"</formula>
    </cfRule>
  </conditionalFormatting>
  <conditionalFormatting sqref="W28:W32">
    <cfRule type="cellIs" dxfId="44" priority="2" operator="equal">
      <formula>"Check"</formula>
    </cfRule>
    <cfRule type="cellIs" dxfId="43" priority="3" operator="equal">
      <formula>"Ok"</formula>
    </cfRule>
  </conditionalFormatting>
  <conditionalFormatting sqref="W34">
    <cfRule type="cellIs" dxfId="42" priority="29" operator="equal">
      <formula>"Check"</formula>
    </cfRule>
    <cfRule type="cellIs" dxfId="41" priority="30" operator="equal">
      <formula>"Ok"</formula>
    </cfRule>
  </conditionalFormatting>
  <conditionalFormatting sqref="W42">
    <cfRule type="cellIs" dxfId="40" priority="24" operator="equal">
      <formula>"Check"</formula>
    </cfRule>
    <cfRule type="cellIs" dxfId="39" priority="25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'Lookup|Tables'!$C$75:$C$84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tabSelected="1" topLeftCell="A46" zoomScaleNormal="100" workbookViewId="0">
      <selection activeCell="L79" sqref="L79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24</v>
      </c>
      <c r="L1" s="28" t="s">
        <v>25</v>
      </c>
      <c r="M1" s="46" t="s">
        <v>26</v>
      </c>
      <c r="N1" s="11" t="s">
        <v>27</v>
      </c>
      <c r="O1" s="12" t="s">
        <v>28</v>
      </c>
      <c r="R1" s="28" t="s">
        <v>29</v>
      </c>
      <c r="S1" s="29" t="s">
        <v>110</v>
      </c>
      <c r="T1" s="29"/>
      <c r="V1" s="185" t="s">
        <v>30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41</v>
      </c>
      <c r="K3" s="100"/>
      <c r="L3" s="100"/>
      <c r="M3" s="105"/>
      <c r="N3" s="203"/>
      <c r="O3" s="203"/>
      <c r="P3" s="203"/>
      <c r="Q3" s="203"/>
      <c r="R3" s="203"/>
      <c r="S3" s="203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33</v>
      </c>
      <c r="E4" s="56" t="s">
        <v>56</v>
      </c>
      <c r="F4" s="57" t="s">
        <v>60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141</v>
      </c>
      <c r="C8" s="32"/>
      <c r="D8" s="32"/>
      <c r="E8" s="51" t="s">
        <v>48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33</v>
      </c>
      <c r="E10" s="20" t="s">
        <v>56</v>
      </c>
      <c r="F10" s="20" t="s">
        <v>60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142</v>
      </c>
      <c r="D12" s="65" t="s">
        <v>143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32.861718000000003</v>
      </c>
      <c r="M12" s="66">
        <f>IF(YEAR(M$4)=BaseYear,'Input|Reported opex'!M47,0)</f>
        <v>0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142</v>
      </c>
      <c r="D13" s="16" t="s">
        <v>54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35.207639013936415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144</v>
      </c>
      <c r="D14" s="65" t="s">
        <v>143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33.67155900280131</v>
      </c>
      <c r="M14" s="66">
        <f>IF(YEAR(M$4)=BaseYear,'Input|Reported opex'!M15,0)</f>
        <v>0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144</v>
      </c>
      <c r="D15" s="16" t="s">
        <v>54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41.366984074224362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145</v>
      </c>
      <c r="D16" s="65" t="s">
        <v>143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35.61288094713656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145</v>
      </c>
      <c r="D17" s="16" t="s">
        <v>54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43.751983056528019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146</v>
      </c>
      <c r="D19" s="65" t="s">
        <v>143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13.434362</v>
      </c>
      <c r="M19" s="66">
        <f>IF(YEAR(M$4)=BaseYear,'Input|Reported opex'!M57,0)</f>
        <v>0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146</v>
      </c>
      <c r="D20" s="16" t="s">
        <v>54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14.393409610494034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147</v>
      </c>
      <c r="D21" s="65" t="s">
        <v>143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11.830543046037112</v>
      </c>
      <c r="M21" s="66">
        <f>IF(YEAR(M$4)=BaseYear,'Input|Reported opex'!M29,0)</f>
        <v>0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147</v>
      </c>
      <c r="D22" s="16" t="s">
        <v>54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14.534339967274098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148</v>
      </c>
      <c r="D23" s="65" t="s">
        <v>143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12.438021908829253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148</v>
      </c>
      <c r="D24" s="16" t="s">
        <v>54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15.280654340198137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149</v>
      </c>
      <c r="D26" s="69" t="s">
        <v>54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35.207639013936415</v>
      </c>
      <c r="M26" s="70">
        <f t="shared" ca="1" si="1"/>
        <v>0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150</v>
      </c>
      <c r="D28" s="65" t="s">
        <v>143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54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151</v>
      </c>
      <c r="D31" s="16" t="s">
        <v>54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2.3849989823036566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152</v>
      </c>
      <c r="D33" s="16" t="s">
        <v>54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37.592637996240072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153</v>
      </c>
      <c r="D35" s="16" t="s">
        <v>54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-15.139723983418072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>
        <f>'Input|Reported opex'!$C$63</f>
        <v>0</v>
      </c>
      <c r="D37" s="65" t="s">
        <v>143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0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>
        <f>C37</f>
        <v>0</v>
      </c>
      <c r="D38" s="16" t="s">
        <v>54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143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54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143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54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143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54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143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54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94</v>
      </c>
      <c r="D52" s="16" t="s">
        <v>98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154</v>
      </c>
      <c r="D54" s="67" t="s">
        <v>98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22.452914012821999</v>
      </c>
      <c r="O54" s="70">
        <f t="shared" si="5"/>
        <v>0</v>
      </c>
      <c r="P54" s="70">
        <f t="shared" si="5"/>
        <v>0</v>
      </c>
      <c r="Q54" s="70"/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155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156</v>
      </c>
      <c r="D58" s="20" t="s">
        <v>33</v>
      </c>
      <c r="E58" s="20" t="s">
        <v>56</v>
      </c>
      <c r="F58" s="20" t="s">
        <v>60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157</v>
      </c>
      <c r="D61" s="16" t="s">
        <v>54</v>
      </c>
      <c r="E61" s="16" t="s">
        <v>95</v>
      </c>
      <c r="F61" s="16" t="s">
        <v>110</v>
      </c>
      <c r="J61" s="72">
        <f ca="1">IF(J58=J4,AVERAGE(OFFSET('Input|Rate of change'!K95,0,0,COUNTA('Input|Rate of change'!$J$84:$N$84),1)),0)</f>
        <v>0</v>
      </c>
      <c r="K61" s="72">
        <f ca="1">IF(K58=K4,AVERAGE(OFFSET('Input|Rate of change'!L95,0,0,COUNTA('Input|Rate of change'!$J$84:$N$84),1)),0)</f>
        <v>0</v>
      </c>
      <c r="L61" s="72">
        <f ca="1">IF(L58=L4,AVERAGE(OFFSET('Input|Rate of change'!M95,0,0,COUNTA('Input|Rate of change'!$J$84:$N$84),1)),0)</f>
        <v>0</v>
      </c>
      <c r="M61" s="72">
        <f ca="1">IF(M58=M4,AVERAGE(OFFSET('Input|Rate of change'!N95,0,0,COUNTA('Input|Rate of change'!$J$84:$N$84),1)),0)</f>
        <v>0</v>
      </c>
      <c r="N61" s="72">
        <f ca="1">IF(N58=N4,AVERAGE(OFFSET('Input|Rate of change'!O95,0,0,COUNTA('Input|Rate of change'!$J$84:$N$84),1)),0)</f>
        <v>0</v>
      </c>
      <c r="O61" s="72">
        <f ca="1">IF(O58=O4,AVERAGE(OFFSET('Input|Rate of change'!P95,0,0,COUNTA('Input|Rate of change'!$J$84:$N$84),1)),0)</f>
        <v>5.1106277575740933E-4</v>
      </c>
      <c r="P61" s="72">
        <f ca="1">IF(P58=P4,AVERAGE(OFFSET('Input|Rate of change'!Q95,0,0,COUNTA('Input|Rate of change'!$J$84:$N$84),1)),0)</f>
        <v>4.8918433446232257E-4</v>
      </c>
      <c r="Q61" s="72">
        <f ca="1">IF(Q58=Q4,AVERAGE(OFFSET('Input|Rate of change'!R95,0,0,COUNTA('Input|Rate of change'!$J$84:$N$84),1)),0)</f>
        <v>4.9690561276349854E-4</v>
      </c>
      <c r="R61" s="72">
        <f ca="1">IF(R58=R4,AVERAGE(OFFSET('Input|Rate of change'!S95,0,0,COUNTA('Input|Rate of change'!$J$84:$N$84),1)),0)</f>
        <v>4.9665882020200058E-4</v>
      </c>
      <c r="S61" s="72">
        <f ca="1">IF(S58=S4,AVERAGE(OFFSET('Input|Rate of change'!T95,0,0,COUNTA('Input|Rate of change'!$J$84:$N$84),1)),0)</f>
        <v>4.9073187826031983E-4</v>
      </c>
      <c r="T61" s="72">
        <f ca="1">IF(T58=T4,AVERAGE(OFFSET('Input|Rate of change'!U95,0,0,COUNTA('Input|Rate of change'!$J$84:$M$84),1)),0)</f>
        <v>0</v>
      </c>
    </row>
    <row r="62" spans="1:31" outlineLevel="1">
      <c r="C62" s="15" t="s">
        <v>158</v>
      </c>
      <c r="D62" s="16" t="s">
        <v>54</v>
      </c>
      <c r="E62" s="16" t="s">
        <v>95</v>
      </c>
      <c r="F62" s="16" t="s">
        <v>110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5.1106277575740933E-4</v>
      </c>
      <c r="P62" s="72">
        <f t="array" aca="1" ref="P62" ca="1">IF(P$58=P$4,PRODUCT(1+$J61:P61)-1,0)</f>
        <v>1.000497114123533E-3</v>
      </c>
      <c r="Q62" s="72">
        <f t="array" aca="1" ref="Q62" ca="1">IF(Q$58=Q$4,PRODUCT(1+$J61:Q61)-1,0)</f>
        <v>1.4978998795185383E-3</v>
      </c>
      <c r="R62" s="72">
        <f t="array" aca="1" ref="R62" ca="1">IF(R$58=R$4,PRODUCT(1+$J61:R61)-1,0)</f>
        <v>1.9953026449075484E-3</v>
      </c>
      <c r="S62" s="72">
        <f t="array" aca="1" ref="S62" ca="1">IF(S$58=S$4,PRODUCT(1+$J61:S61)-1,0)</f>
        <v>2.4870136817825017E-3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159</v>
      </c>
      <c r="D64" s="16" t="s">
        <v>54</v>
      </c>
      <c r="E64" s="16" t="s">
        <v>95</v>
      </c>
      <c r="F64" s="16" t="s">
        <v>110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4.4923086263498595E-3</v>
      </c>
      <c r="P64" s="72">
        <f>SUMPRODUCT('Input|Rate of change'!Q38:Q45,'Input|Rate of change'!Q51:Q58)</f>
        <v>5.4699061995387771E-3</v>
      </c>
      <c r="Q64" s="72">
        <f>SUMPRODUCT('Input|Rate of change'!R38:R45,'Input|Rate of change'!R51:R58)</f>
        <v>6.559569161668671E-3</v>
      </c>
      <c r="R64" s="72">
        <f>SUMPRODUCT('Input|Rate of change'!S38:S45,'Input|Rate of change'!S51:S58)</f>
        <v>7.6306918452938794E-3</v>
      </c>
      <c r="S64" s="72">
        <f>SUMPRODUCT('Input|Rate of change'!T38:T45,'Input|Rate of change'!T51:T58)</f>
        <v>7.6618387655030644E-3</v>
      </c>
      <c r="T64" s="72">
        <f>SUMPRODUCT('Input|Rate of change'!U38:U45,'Input|Rate of change'!U51:U58)</f>
        <v>0</v>
      </c>
    </row>
    <row r="65" spans="1:31" outlineLevel="1">
      <c r="C65" s="15" t="s">
        <v>160</v>
      </c>
      <c r="D65" s="16" t="s">
        <v>54</v>
      </c>
      <c r="E65" s="16" t="s">
        <v>95</v>
      </c>
      <c r="F65" s="16" t="s">
        <v>110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4.4923086263497503E-3</v>
      </c>
      <c r="P65" s="72">
        <f t="array" ref="P65">IF(P$58=P$4,PRODUCT(1+$J64:P64)-1,0)</f>
        <v>9.9867873326939804E-3</v>
      </c>
      <c r="Q65" s="72">
        <f t="array" ref="Q65">IF(Q$58=Q$4,PRODUCT(1+$J64:Q64)-1,0)</f>
        <v>1.6611865516574342E-2</v>
      </c>
      <c r="R65" s="72">
        <f t="array" ref="R65">IF(R$58=R$4,PRODUCT(1+$J64:R64)-1,0)</f>
        <v>2.436931738860082E-2</v>
      </c>
      <c r="S65" s="72">
        <f t="array" ref="S65">IF(S$58=S$4,PRODUCT(1+$J64:S64)-1,0)</f>
        <v>3.2217869934760612E-2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161</v>
      </c>
      <c r="D67" s="16" t="s">
        <v>54</v>
      </c>
      <c r="E67" s="16" t="s">
        <v>95</v>
      </c>
      <c r="F67" s="16" t="s">
        <v>110</v>
      </c>
      <c r="J67" s="72"/>
      <c r="K67" s="72"/>
      <c r="L67" s="72"/>
      <c r="M67" s="72"/>
      <c r="N67" s="72">
        <f>'Input|Rate of change'!O107</f>
        <v>0</v>
      </c>
      <c r="O67" s="202">
        <f>AVERAGE('Input|Rate of change'!P107:P107)</f>
        <v>0</v>
      </c>
      <c r="P67" s="202">
        <f>AVERAGE('Input|Rate of change'!Q107:Q107)</f>
        <v>0</v>
      </c>
      <c r="Q67" s="202">
        <f>AVERAGE('Input|Rate of change'!R107:R107)</f>
        <v>0</v>
      </c>
      <c r="R67" s="202">
        <f>AVERAGE('Input|Rate of change'!S107:S107)</f>
        <v>0</v>
      </c>
      <c r="S67" s="202">
        <f>AVERAGE('Input|Rate of change'!T107:T107)</f>
        <v>0</v>
      </c>
      <c r="T67" s="72">
        <f>'Input|Rate of change'!U107</f>
        <v>0</v>
      </c>
    </row>
    <row r="68" spans="1:31" outlineLevel="1">
      <c r="C68" s="15" t="s">
        <v>162</v>
      </c>
      <c r="D68" s="16" t="s">
        <v>54</v>
      </c>
      <c r="E68" s="16" t="s">
        <v>95</v>
      </c>
      <c r="F68" s="16" t="s">
        <v>110</v>
      </c>
      <c r="J68" s="72"/>
      <c r="K68" s="72"/>
      <c r="L68" s="72"/>
      <c r="M68" s="72"/>
      <c r="N68" s="72">
        <f t="array" ref="N68">IF(N$58=N$4,PRODUCT(1+$J67:N67)-1,0)</f>
        <v>0</v>
      </c>
      <c r="O68" s="72">
        <f t="array" ref="O68">IF(O$58=O$4,PRODUCT(1+$J67:O67)-1,0)</f>
        <v>0</v>
      </c>
      <c r="P68" s="72">
        <f t="array" ref="P68">IF(P$58=P$4,PRODUCT(1+$J67:P67)-1,0)</f>
        <v>0</v>
      </c>
      <c r="Q68" s="72">
        <f t="array" ref="Q68">IF(Q$58=Q$4,PRODUCT(1+$J67:Q67)-1,0)</f>
        <v>0</v>
      </c>
      <c r="R68" s="72">
        <f t="array" ref="R68">IF(R$58=R$4,PRODUCT(1+$J67:R67)-1,0)</f>
        <v>0</v>
      </c>
      <c r="S68" s="72">
        <f t="array" ref="S68">IF(S$58=S$4,PRODUCT(1+$J67:S67)-1,0)</f>
        <v>0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163</v>
      </c>
      <c r="D70" s="69" t="s">
        <v>54</v>
      </c>
      <c r="E70" s="69" t="s">
        <v>95</v>
      </c>
      <c r="F70" s="69" t="s">
        <v>110</v>
      </c>
      <c r="J70" s="88"/>
      <c r="K70" s="88"/>
      <c r="L70" s="88"/>
      <c r="M70" s="88"/>
      <c r="N70" s="88">
        <f t="shared" ref="N70:S70" ca="1" si="6">(1+N61)*(1+N64)*(1-N67)-1</f>
        <v>0</v>
      </c>
      <c r="O70" s="88">
        <f ca="1">(1+O61)*(1+O64)*(1-O67)-1</f>
        <v>5.0056672538232316E-3</v>
      </c>
      <c r="P70" s="88">
        <f t="shared" ca="1" si="6"/>
        <v>5.9617663264248666E-3</v>
      </c>
      <c r="Q70" s="88">
        <f t="shared" ca="1" si="6"/>
        <v>7.0597342611660174E-3</v>
      </c>
      <c r="R70" s="88">
        <f t="shared" ca="1" si="6"/>
        <v>8.1311405159052441E-3</v>
      </c>
      <c r="S70" s="88">
        <f t="shared" ca="1" si="6"/>
        <v>8.1563305522915908E-3</v>
      </c>
      <c r="T70" s="88">
        <f t="shared" ref="T70" ca="1" si="7">(1+T61)*(1+T64)*(1-T67)-1</f>
        <v>0</v>
      </c>
    </row>
    <row r="71" spans="1:31" outlineLevel="1">
      <c r="C71" s="9" t="s">
        <v>164</v>
      </c>
      <c r="D71" s="16" t="s">
        <v>54</v>
      </c>
      <c r="E71" s="16" t="s">
        <v>95</v>
      </c>
      <c r="F71" s="16" t="s">
        <v>110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5.0056672538232316E-3</v>
      </c>
      <c r="P71" s="72">
        <f t="array" aca="1" ref="P71" ca="1">IF(P$58=P$4,PRODUCT(1+$J70:P70)-1,"")</f>
        <v>1.0997276198723149E-2</v>
      </c>
      <c r="Q71" s="72">
        <f t="array" aca="1" ref="Q71" ca="1">IF(Q$58=Q$4,PRODUCT(1+$J70:Q70)-1,"")</f>
        <v>1.8134648307448709E-2</v>
      </c>
      <c r="R71" s="72">
        <f t="array" aca="1" ref="R71" ca="1">IF(R$58=R$4,PRODUCT(1+$J70:R70)-1,"")</f>
        <v>2.6413244196948238E-2</v>
      </c>
      <c r="S71" s="72">
        <f t="array" aca="1" ref="S71" ca="1">IF(S$58=S$4,PRODUCT(1+$J70:S70)-1,"")</f>
        <v>3.4785009899868546E-2</v>
      </c>
      <c r="T71" s="72" t="str">
        <f t="array" ref="T71">IF(T$58=T$4,PRODUCT(1+$J70:T70)-1,"")</f>
        <v/>
      </c>
    </row>
    <row r="72" spans="1:31">
      <c r="J72" s="64"/>
      <c r="K72" s="194"/>
      <c r="L72" s="64"/>
      <c r="M72" s="64"/>
      <c r="N72" s="64"/>
      <c r="O72" s="193"/>
      <c r="P72" s="193"/>
      <c r="Q72" s="193"/>
      <c r="R72" s="193"/>
      <c r="S72" s="193"/>
      <c r="T72" s="74"/>
    </row>
    <row r="73" spans="1:31" customFormat="1" ht="12.75">
      <c r="A73" s="32"/>
      <c r="B73" s="38" t="s">
        <v>165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166</v>
      </c>
      <c r="D75" s="20" t="s">
        <v>33</v>
      </c>
      <c r="E75" s="20" t="s">
        <v>56</v>
      </c>
      <c r="F75" s="20" t="s">
        <v>60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Safety control program</v>
      </c>
      <c r="D77" s="16" t="s">
        <v>54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0.37638700000000003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0.27814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0.27994599999999997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0.281806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0.28372199999999997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>
        <f>'Input|Step changes'!C13</f>
        <v>0</v>
      </c>
      <c r="D78" s="16" t="s">
        <v>54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195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P78" s="195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Q78" s="195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R78" s="195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S78" s="195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>
        <f>'Input|Step changes'!C14</f>
        <v>0</v>
      </c>
      <c r="D79" s="16" t="s">
        <v>54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>
        <f>'Input|Step changes'!C15</f>
        <v>0</v>
      </c>
      <c r="D80" s="16" t="s">
        <v>54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>
        <f>'Input|Step changes'!C16</f>
        <v>0</v>
      </c>
      <c r="D81" s="16" t="s">
        <v>54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>
        <f>'Input|Step changes'!C17</f>
        <v>0</v>
      </c>
      <c r="D82" s="16" t="s">
        <v>54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>
        <f>'Input|Step changes'!C18</f>
        <v>0</v>
      </c>
      <c r="D83" s="16" t="s">
        <v>54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>
        <f>'Input|Step changes'!C19</f>
        <v>0</v>
      </c>
      <c r="D84" s="16" t="s">
        <v>54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54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outlineLevel="1">
      <c r="C87" s="68" t="s">
        <v>167</v>
      </c>
      <c r="D87" s="76" t="s">
        <v>54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0.37638700000000003</v>
      </c>
      <c r="P87" s="80">
        <f t="shared" si="10"/>
        <v>0.27814</v>
      </c>
      <c r="Q87" s="80">
        <f t="shared" si="10"/>
        <v>0.27994599999999997</v>
      </c>
      <c r="R87" s="80">
        <f t="shared" si="10"/>
        <v>0.281806</v>
      </c>
      <c r="S87" s="80">
        <f t="shared" si="10"/>
        <v>0.28372199999999997</v>
      </c>
      <c r="T87" s="80">
        <f t="shared" ref="T87" si="11">SUM(T76:T86)</f>
        <v>0</v>
      </c>
    </row>
    <row r="88" spans="1:31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2.75">
      <c r="A89" s="32"/>
      <c r="B89" s="38" t="s">
        <v>168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outlineLevel="1">
      <c r="C91" s="9" t="s">
        <v>135</v>
      </c>
      <c r="D91" s="20" t="s">
        <v>33</v>
      </c>
      <c r="E91" s="20" t="s">
        <v>56</v>
      </c>
      <c r="F91" s="20" t="s">
        <v>60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UAG</v>
      </c>
      <c r="D93" s="16" t="s">
        <v>54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2.3585963305363022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2.0596098578591686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1.9373632410959929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1.7359295135202661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1.5640183954642275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 t="str">
        <f>'Input|Step changes'!C29</f>
        <v>Jurisdictional charges: UNFT</v>
      </c>
      <c r="D94" s="16" t="s">
        <v>54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9.0750989236742257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9.0274543249254737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8.9809256675730609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8.9440575085842227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8.9092610615499321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 t="str">
        <f>'Input|Step changes'!C30</f>
        <v>Jurisdictional charges: EIL</v>
      </c>
      <c r="D95" s="16" t="s">
        <v>39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0.7466463203518785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0.75243282933460554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0.7582641837619486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0.76414073118610371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0.77006282185279584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U95" s="200"/>
      <c r="V95" s="201"/>
    </row>
    <row r="96" spans="1:31" outlineLevel="1">
      <c r="C96" s="75">
        <f>'Input|Step changes'!C31</f>
        <v>0</v>
      </c>
      <c r="D96" s="16" t="s">
        <v>54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54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outlineLevel="1">
      <c r="C99" s="68" t="s">
        <v>169</v>
      </c>
      <c r="D99" s="76" t="s">
        <v>54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12.180341574562407</v>
      </c>
      <c r="P99" s="80">
        <f t="shared" si="14"/>
        <v>11.839497012119248</v>
      </c>
      <c r="Q99" s="80">
        <f t="shared" si="14"/>
        <v>11.676553092431002</v>
      </c>
      <c r="R99" s="80">
        <f t="shared" si="14"/>
        <v>11.444127753290593</v>
      </c>
      <c r="S99" s="80">
        <f t="shared" si="14"/>
        <v>11.243342278866955</v>
      </c>
      <c r="T99" s="80">
        <f t="shared" si="14"/>
        <v>0</v>
      </c>
    </row>
    <row r="100" spans="1:39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2.75">
      <c r="A101" s="32"/>
      <c r="B101" s="38" t="s">
        <v>170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196"/>
    </row>
    <row r="105" spans="1:39" outlineLevel="1">
      <c r="C105" s="77" t="s">
        <v>171</v>
      </c>
      <c r="D105" s="20" t="s">
        <v>54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ca="1">IF(YEAR(O$4)&gt;=FPFirstYear,IF(YEAR(O$4)&lt;=FPLastYear,IF(ISBLANK(O103),"",(1+O71)*SUM($J54:$S54)+O87),""),"")</f>
        <v>22.941692829248893</v>
      </c>
      <c r="P105" s="90">
        <f t="shared" ca="1" si="16"/>
        <v>22.977974909687184</v>
      </c>
      <c r="Q105" s="90">
        <f t="shared" ca="1" si="16"/>
        <v>23.140035711921911</v>
      </c>
      <c r="R105" s="90">
        <f t="shared" ca="1" si="16"/>
        <v>23.327774313575748</v>
      </c>
      <c r="S105" s="90">
        <f t="shared" ca="1" si="16"/>
        <v>23.517660849038911</v>
      </c>
      <c r="T105" s="90" t="str">
        <f t="shared" si="16"/>
        <v/>
      </c>
    </row>
    <row r="106" spans="1:39" outlineLevel="1">
      <c r="C106" s="77" t="s">
        <v>172</v>
      </c>
      <c r="D106" s="20" t="s">
        <v>54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35.122034403811298</v>
      </c>
      <c r="P106" s="90">
        <f t="shared" ca="1" si="17"/>
        <v>34.81747192180643</v>
      </c>
      <c r="Q106" s="90">
        <f t="shared" ca="1" si="17"/>
        <v>34.816588804352911</v>
      </c>
      <c r="R106" s="90">
        <f t="shared" ca="1" si="17"/>
        <v>34.771902066866339</v>
      </c>
      <c r="S106" s="90">
        <f t="shared" ca="1" si="17"/>
        <v>34.761003127905866</v>
      </c>
      <c r="T106" s="90" t="str">
        <f t="shared" si="17"/>
        <v/>
      </c>
    </row>
    <row r="107" spans="1:39" outlineLevel="1">
      <c r="C107" s="77" t="s">
        <v>173</v>
      </c>
      <c r="D107" s="20" t="s">
        <v>54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35.368895801835265</v>
      </c>
      <c r="P107" s="90">
        <f ca="1">IF(YEAR(P$4)&gt;=FPFirstYear,IF(YEAR(P$4)&lt;=FPLastYear,P106+'Input|Step changes'!P40,""),"")</f>
        <v>35.049778510493979</v>
      </c>
      <c r="Q107" s="90">
        <f ca="1">IF(YEAR(Q$4)&gt;=FPFirstYear,IF(YEAR(Q$4)&lt;=FPLastYear,Q106+'Input|Step changes'!Q40,""),"")</f>
        <v>35.033798329026077</v>
      </c>
      <c r="R107" s="90">
        <f ca="1">IF(YEAR(R$4)&gt;=FPFirstYear,IF(YEAR(R$4)&lt;=FPLastYear,R106+'Input|Step changes'!R40,""),"")</f>
        <v>34.973270089462943</v>
      </c>
      <c r="S107" s="90">
        <f ca="1">IF(YEAR(S$4)&gt;=FPFirstYear,IF(YEAR(S$4)&lt;=FPLastYear,S106+'Input|Step changes'!S40,""),"")</f>
        <v>34.946858395129411</v>
      </c>
      <c r="T107" s="90" t="str">
        <f>IF(YEAR(T$4)&gt;=FPFirstYear,IF(YEAR(T$4)&lt;=FPLastYear,T106+'Input|Step changes'!T40,""),"")</f>
        <v/>
      </c>
    </row>
    <row r="108" spans="1:39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2.75">
      <c r="A109" s="32"/>
      <c r="B109" s="38" t="s">
        <v>23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8" priority="29">
      <formula>J$10=J$4</formula>
    </cfRule>
  </conditionalFormatting>
  <conditionalFormatting sqref="J12:T24">
    <cfRule type="cellIs" dxfId="37" priority="10" operator="equal">
      <formula>0</formula>
    </cfRule>
  </conditionalFormatting>
  <conditionalFormatting sqref="J25:T25">
    <cfRule type="expression" dxfId="36" priority="28">
      <formula>J$10=J$4</formula>
    </cfRule>
  </conditionalFormatting>
  <conditionalFormatting sqref="J26:T54">
    <cfRule type="cellIs" dxfId="35" priority="2" operator="equal">
      <formula>0</formula>
    </cfRule>
  </conditionalFormatting>
  <conditionalFormatting sqref="J54:T54">
    <cfRule type="expression" dxfId="34" priority="27">
      <formula>J$10=J$4</formula>
    </cfRule>
  </conditionalFormatting>
  <conditionalFormatting sqref="J58:T58 J75:T75 J91:T91">
    <cfRule type="expression" dxfId="33" priority="119">
      <formula>J$58=J$4</formula>
    </cfRule>
  </conditionalFormatting>
  <conditionalFormatting sqref="J61:T68">
    <cfRule type="cellIs" dxfId="32" priority="1" operator="equal">
      <formula>0</formula>
    </cfRule>
  </conditionalFormatting>
  <conditionalFormatting sqref="J70:T70">
    <cfRule type="expression" dxfId="31" priority="113">
      <formula>J$58=J$4</formula>
    </cfRule>
  </conditionalFormatting>
  <conditionalFormatting sqref="J70:T71">
    <cfRule type="cellIs" dxfId="30" priority="20" operator="equal">
      <formula>0</formula>
    </cfRule>
  </conditionalFormatting>
  <conditionalFormatting sqref="J77:T85 J93:T99">
    <cfRule type="cellIs" dxfId="29" priority="99" operator="equal">
      <formula>0</formula>
    </cfRule>
  </conditionalFormatting>
  <conditionalFormatting sqref="J87:T87">
    <cfRule type="expression" dxfId="28" priority="117">
      <formula>J$75=J$4</formula>
    </cfRule>
    <cfRule type="cellIs" dxfId="27" priority="118" operator="equal">
      <formula>0</formula>
    </cfRule>
  </conditionalFormatting>
  <conditionalFormatting sqref="J99:T99">
    <cfRule type="expression" dxfId="26" priority="115">
      <formula>J$91=J$4</formula>
    </cfRule>
  </conditionalFormatting>
  <conditionalFormatting sqref="J103:T103">
    <cfRule type="expression" dxfId="25" priority="122">
      <formula>J$103=J$4</formula>
    </cfRule>
  </conditionalFormatting>
  <conditionalFormatting sqref="J105:T107">
    <cfRule type="cellIs" dxfId="24" priority="30" operator="equal">
      <formula>0</formula>
    </cfRule>
  </conditionalFormatting>
  <conditionalFormatting sqref="S1:T1">
    <cfRule type="cellIs" dxfId="23" priority="108" operator="equal">
      <formula>"Check"</formula>
    </cfRule>
    <cfRule type="cellIs" dxfId="22" priority="109" operator="equal">
      <formula>"Ok"</formula>
    </cfRule>
  </conditionalFormatting>
  <conditionalFormatting sqref="W1">
    <cfRule type="cellIs" dxfId="21" priority="110" operator="equal">
      <formula>"Check"</formula>
    </cfRule>
    <cfRule type="cellIs" dxfId="20" priority="111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U15" sqref="U15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24</v>
      </c>
      <c r="L1" s="28" t="s">
        <v>25</v>
      </c>
      <c r="M1" s="46" t="s">
        <v>26</v>
      </c>
      <c r="N1" s="11" t="s">
        <v>27</v>
      </c>
      <c r="O1" s="12" t="s">
        <v>28</v>
      </c>
      <c r="R1" s="28" t="s">
        <v>29</v>
      </c>
      <c r="S1" s="29" t="s">
        <v>110</v>
      </c>
      <c r="T1" s="29"/>
      <c r="V1" s="185" t="s">
        <v>30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41</v>
      </c>
      <c r="K3" s="100"/>
      <c r="L3" s="100"/>
      <c r="M3" s="105"/>
      <c r="N3" s="203"/>
      <c r="O3" s="203"/>
      <c r="P3" s="203"/>
      <c r="Q3" s="203"/>
      <c r="R3" s="203"/>
      <c r="S3" s="203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33</v>
      </c>
      <c r="E4" s="56" t="s">
        <v>56</v>
      </c>
      <c r="F4" s="57" t="s">
        <v>60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174</v>
      </c>
      <c r="C8" s="32"/>
      <c r="D8" s="32"/>
      <c r="E8" s="51" t="s">
        <v>48</v>
      </c>
      <c r="F8" s="111">
        <f>DATE(PPLastYear,MONTH('Input|General'!$G$9),1)</f>
        <v>46174</v>
      </c>
      <c r="G8" s="33"/>
      <c r="H8" s="33"/>
      <c r="I8" s="33"/>
      <c r="J8" s="40" t="s">
        <v>175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176</v>
      </c>
      <c r="D11" s="20" t="s">
        <v>33</v>
      </c>
      <c r="E11" s="20" t="s">
        <v>56</v>
      </c>
      <c r="F11" s="20" t="s">
        <v>60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63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177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22.941692829248893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22.977974909687184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23.140035711921911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23.327774313575748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23.517660849038911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UAG</v>
      </c>
      <c r="D14" s="24" t="s">
        <v>177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2.3585963305363022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2.0596098578591686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1.9373632410959929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1.7359295135202661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1.5640183954642275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 t="str">
        <f>'Input|Step changes'!C29</f>
        <v>Jurisdictional charges: UNFT</v>
      </c>
      <c r="D15" s="24" t="s">
        <v>177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9.0750989236742257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9.0274543249254737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8.9809256675730609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8.9440575085842227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8.9092610615499321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 t="str">
        <f>'Input|Step changes'!C30</f>
        <v>Jurisdictional charges: EIL</v>
      </c>
      <c r="D16" s="24" t="s">
        <v>177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0.7466463203518785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0.75243282933460554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0.7582641837619486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0.76414073118610371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0.77006282185279584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177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177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23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'Lookup|Tables'!$H$48:$H$68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6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4" t="s">
        <v>24</v>
      </c>
      <c r="L1" s="28" t="s">
        <v>25</v>
      </c>
      <c r="M1" s="46" t="s">
        <v>26</v>
      </c>
      <c r="N1" s="11" t="s">
        <v>27</v>
      </c>
      <c r="O1" s="12" t="s">
        <v>28</v>
      </c>
      <c r="R1" s="28"/>
      <c r="S1" s="29"/>
      <c r="U1" s="185" t="s">
        <v>30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178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33</v>
      </c>
      <c r="E7" s="20"/>
      <c r="F7" s="14"/>
      <c r="G7" s="14" t="s">
        <v>179</v>
      </c>
      <c r="H7" s="14"/>
    </row>
    <row r="8" spans="1:30">
      <c r="C8" s="15" t="s">
        <v>180</v>
      </c>
      <c r="D8" s="16" t="s">
        <v>181</v>
      </c>
      <c r="E8" s="16"/>
      <c r="F8" s="16"/>
      <c r="G8" s="39" t="s">
        <v>180</v>
      </c>
    </row>
    <row r="9" spans="1:30">
      <c r="C9" s="15" t="s">
        <v>182</v>
      </c>
      <c r="D9" s="16" t="s">
        <v>181</v>
      </c>
      <c r="E9" s="16"/>
      <c r="F9" s="16"/>
      <c r="G9" s="39" t="s">
        <v>182</v>
      </c>
    </row>
    <row r="10" spans="1:30">
      <c r="C10" s="15" t="s">
        <v>183</v>
      </c>
      <c r="D10" s="16" t="s">
        <v>39</v>
      </c>
      <c r="E10" s="16"/>
      <c r="F10" s="16"/>
      <c r="G10" s="39" t="s">
        <v>183</v>
      </c>
      <c r="T10" s="17"/>
    </row>
    <row r="11" spans="1:30">
      <c r="C11" s="15" t="s">
        <v>40</v>
      </c>
      <c r="D11" s="16" t="s">
        <v>181</v>
      </c>
      <c r="E11" s="16"/>
      <c r="F11" s="16"/>
      <c r="G11" s="39" t="s">
        <v>40</v>
      </c>
    </row>
    <row r="12" spans="1:30">
      <c r="C12" s="15" t="s">
        <v>184</v>
      </c>
      <c r="D12" s="16" t="s">
        <v>39</v>
      </c>
      <c r="E12" s="16"/>
      <c r="F12" s="16"/>
      <c r="G12" s="39" t="s">
        <v>184</v>
      </c>
      <c r="T12" s="17"/>
    </row>
    <row r="13" spans="1:30">
      <c r="F13" s="8"/>
      <c r="G13" s="8"/>
    </row>
    <row r="14" spans="1:30" customFormat="1" ht="12.75">
      <c r="A14" s="32"/>
      <c r="B14" s="38" t="s">
        <v>185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33</v>
      </c>
      <c r="E16" s="20"/>
      <c r="F16" s="14"/>
      <c r="G16" s="14" t="s">
        <v>179</v>
      </c>
      <c r="H16" s="14"/>
    </row>
    <row r="17" spans="1:30">
      <c r="C17" s="15" t="s">
        <v>186</v>
      </c>
      <c r="D17" s="16" t="s">
        <v>39</v>
      </c>
      <c r="E17" s="16"/>
      <c r="F17" s="16"/>
      <c r="G17" s="39" t="s">
        <v>187</v>
      </c>
    </row>
    <row r="18" spans="1:30">
      <c r="C18" s="15" t="s">
        <v>188</v>
      </c>
      <c r="D18" s="16" t="s">
        <v>39</v>
      </c>
      <c r="E18" s="16"/>
      <c r="F18" s="16"/>
      <c r="G18" s="39" t="s">
        <v>189</v>
      </c>
    </row>
    <row r="19" spans="1:30">
      <c r="C19" s="15" t="s">
        <v>190</v>
      </c>
      <c r="D19" s="16" t="s">
        <v>39</v>
      </c>
      <c r="E19" s="16"/>
      <c r="F19" s="16"/>
      <c r="G19" s="39" t="s">
        <v>48</v>
      </c>
      <c r="T19" s="17"/>
    </row>
    <row r="20" spans="1:30">
      <c r="F20" s="8"/>
      <c r="G20" s="8"/>
    </row>
    <row r="21" spans="1:30">
      <c r="C21" s="15" t="s">
        <v>58</v>
      </c>
      <c r="D21" s="16" t="s">
        <v>39</v>
      </c>
      <c r="E21" s="16"/>
      <c r="F21" s="16"/>
      <c r="G21" s="39" t="s">
        <v>95</v>
      </c>
    </row>
    <row r="22" spans="1:30">
      <c r="C22" s="15" t="s">
        <v>56</v>
      </c>
      <c r="D22" s="16" t="s">
        <v>39</v>
      </c>
      <c r="E22" s="16"/>
      <c r="F22" s="16"/>
      <c r="G22" s="39" t="s">
        <v>191</v>
      </c>
    </row>
    <row r="23" spans="1:30">
      <c r="C23" s="15" t="s">
        <v>192</v>
      </c>
      <c r="D23" s="16" t="s">
        <v>39</v>
      </c>
      <c r="E23" s="16"/>
      <c r="F23" s="16"/>
      <c r="G23" s="39" t="s">
        <v>115</v>
      </c>
    </row>
    <row r="24" spans="1:30">
      <c r="C24" s="15" t="s">
        <v>193</v>
      </c>
      <c r="D24" s="16" t="s">
        <v>39</v>
      </c>
      <c r="E24" s="16"/>
      <c r="F24" s="16"/>
      <c r="G24" s="39" t="s">
        <v>194</v>
      </c>
    </row>
    <row r="25" spans="1:30">
      <c r="C25" s="15"/>
      <c r="D25" s="16"/>
      <c r="E25" s="16"/>
      <c r="F25" s="16"/>
      <c r="G25" s="8"/>
    </row>
    <row r="26" spans="1:30">
      <c r="C26" s="15" t="s">
        <v>73</v>
      </c>
      <c r="D26" s="16" t="s">
        <v>39</v>
      </c>
      <c r="E26" s="16"/>
      <c r="F26" s="16"/>
      <c r="G26" s="39" t="s">
        <v>73</v>
      </c>
    </row>
    <row r="27" spans="1:30">
      <c r="C27" s="15" t="s">
        <v>74</v>
      </c>
      <c r="D27" s="16" t="s">
        <v>39</v>
      </c>
      <c r="E27" s="16"/>
      <c r="F27" s="16"/>
      <c r="G27" s="39" t="s">
        <v>74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195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33</v>
      </c>
      <c r="E31" s="20"/>
      <c r="F31" s="14"/>
      <c r="G31" s="14" t="s">
        <v>179</v>
      </c>
      <c r="H31" s="14"/>
    </row>
    <row r="32" spans="1:30">
      <c r="C32" s="15" t="s">
        <v>196</v>
      </c>
      <c r="D32" s="16" t="s">
        <v>39</v>
      </c>
      <c r="E32" s="16"/>
      <c r="F32" s="16"/>
      <c r="G32" s="92">
        <v>36526</v>
      </c>
      <c r="H32" s="14"/>
    </row>
    <row r="33" spans="1:30">
      <c r="C33" s="15" t="s">
        <v>197</v>
      </c>
      <c r="D33" s="16" t="s">
        <v>39</v>
      </c>
      <c r="E33" s="16"/>
      <c r="F33" s="16"/>
      <c r="G33" s="92">
        <v>36557</v>
      </c>
      <c r="H33" s="14"/>
    </row>
    <row r="34" spans="1:30">
      <c r="C34" s="15" t="s">
        <v>198</v>
      </c>
      <c r="D34" s="16" t="s">
        <v>39</v>
      </c>
      <c r="E34" s="16"/>
      <c r="F34" s="16"/>
      <c r="G34" s="92">
        <v>36586</v>
      </c>
      <c r="H34" s="14"/>
    </row>
    <row r="35" spans="1:30">
      <c r="C35" s="15" t="s">
        <v>199</v>
      </c>
      <c r="D35" s="16" t="s">
        <v>39</v>
      </c>
      <c r="E35" s="16"/>
      <c r="F35" s="16"/>
      <c r="G35" s="92">
        <v>36617</v>
      </c>
    </row>
    <row r="36" spans="1:30">
      <c r="C36" s="15" t="s">
        <v>200</v>
      </c>
      <c r="D36" s="16" t="s">
        <v>39</v>
      </c>
      <c r="E36" s="16"/>
      <c r="F36" s="16"/>
      <c r="G36" s="92">
        <v>36647</v>
      </c>
    </row>
    <row r="37" spans="1:30">
      <c r="C37" s="15" t="s">
        <v>201</v>
      </c>
      <c r="D37" s="16" t="s">
        <v>39</v>
      </c>
      <c r="E37" s="16"/>
      <c r="F37" s="16"/>
      <c r="G37" s="92">
        <v>36678</v>
      </c>
      <c r="T37" s="17"/>
    </row>
    <row r="38" spans="1:30">
      <c r="C38" s="15" t="s">
        <v>202</v>
      </c>
      <c r="D38" s="16" t="s">
        <v>39</v>
      </c>
      <c r="E38" s="16"/>
      <c r="F38" s="16"/>
      <c r="G38" s="92">
        <v>36708</v>
      </c>
      <c r="T38" s="17"/>
    </row>
    <row r="39" spans="1:30">
      <c r="C39" s="15" t="s">
        <v>203</v>
      </c>
      <c r="D39" s="16" t="s">
        <v>39</v>
      </c>
      <c r="E39" s="16"/>
      <c r="F39" s="16"/>
      <c r="G39" s="92">
        <v>36739</v>
      </c>
      <c r="T39" s="17"/>
    </row>
    <row r="40" spans="1:30">
      <c r="C40" s="15" t="s">
        <v>204</v>
      </c>
      <c r="D40" s="16" t="s">
        <v>39</v>
      </c>
      <c r="E40" s="16"/>
      <c r="F40" s="16"/>
      <c r="G40" s="92">
        <v>36770</v>
      </c>
      <c r="T40" s="17"/>
    </row>
    <row r="41" spans="1:30">
      <c r="C41" s="15" t="s">
        <v>205</v>
      </c>
      <c r="D41" s="16" t="s">
        <v>39</v>
      </c>
      <c r="E41" s="16"/>
      <c r="F41" s="16"/>
      <c r="G41" s="92">
        <v>36800</v>
      </c>
      <c r="T41" s="17"/>
    </row>
    <row r="42" spans="1:30">
      <c r="C42" s="15" t="s">
        <v>206</v>
      </c>
      <c r="D42" s="16" t="s">
        <v>39</v>
      </c>
      <c r="E42" s="16"/>
      <c r="F42" s="16"/>
      <c r="G42" s="92">
        <v>36831</v>
      </c>
      <c r="T42" s="17"/>
    </row>
    <row r="43" spans="1:30">
      <c r="C43" s="15" t="s">
        <v>207</v>
      </c>
      <c r="D43" s="16" t="s">
        <v>39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208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33</v>
      </c>
      <c r="E47" s="20"/>
      <c r="F47" s="14"/>
      <c r="G47" s="14" t="s">
        <v>209</v>
      </c>
      <c r="H47" s="14" t="s">
        <v>210</v>
      </c>
      <c r="I47" s="14" t="s">
        <v>211</v>
      </c>
    </row>
    <row r="48" spans="1:30">
      <c r="C48" s="97">
        <v>40695</v>
      </c>
      <c r="D48" s="16" t="s">
        <v>39</v>
      </c>
      <c r="E48" s="16"/>
      <c r="F48" s="16"/>
      <c r="G48" s="93">
        <v>2011</v>
      </c>
      <c r="H48" s="107">
        <f>DATE(G48,MONTH('Input|General'!$G$9),1)</f>
        <v>40695</v>
      </c>
      <c r="I48" s="106" t="str">
        <f>G48-1&amp;"–"&amp;RIGHT(G48,2)</f>
        <v>2010–11</v>
      </c>
    </row>
    <row r="49" spans="3:20">
      <c r="C49" s="97">
        <v>41061</v>
      </c>
      <c r="D49" s="16" t="s">
        <v>39</v>
      </c>
      <c r="E49" s="16"/>
      <c r="F49" s="16"/>
      <c r="G49" s="93">
        <v>2012</v>
      </c>
      <c r="H49" s="107">
        <f>DATE(G49,MONTH('Input|General'!$G$9),1)</f>
        <v>41061</v>
      </c>
      <c r="I49" s="106" t="str">
        <f t="shared" ref="I49:I68" si="0">G49-1&amp;"–"&amp;RIGHT(G49,2)</f>
        <v>2011–12</v>
      </c>
    </row>
    <row r="50" spans="3:20">
      <c r="C50" s="97">
        <v>41426</v>
      </c>
      <c r="D50" s="16" t="s">
        <v>39</v>
      </c>
      <c r="E50" s="16"/>
      <c r="F50" s="16"/>
      <c r="G50" s="93">
        <v>2013</v>
      </c>
      <c r="H50" s="107">
        <f>DATE(G50,MONTH('Input|General'!$G$9),1)</f>
        <v>41426</v>
      </c>
      <c r="I50" s="106" t="str">
        <f t="shared" si="0"/>
        <v>2012–13</v>
      </c>
    </row>
    <row r="51" spans="3:20">
      <c r="C51" s="97">
        <v>41791</v>
      </c>
      <c r="D51" s="16" t="s">
        <v>39</v>
      </c>
      <c r="E51" s="16"/>
      <c r="F51" s="16"/>
      <c r="G51" s="93">
        <v>2014</v>
      </c>
      <c r="H51" s="107">
        <f>DATE(G51,MONTH('Input|General'!$G$9),1)</f>
        <v>41791</v>
      </c>
      <c r="I51" s="106" t="str">
        <f t="shared" si="0"/>
        <v>2013–14</v>
      </c>
    </row>
    <row r="52" spans="3:20">
      <c r="C52" s="97">
        <v>42156</v>
      </c>
      <c r="D52" s="16" t="s">
        <v>39</v>
      </c>
      <c r="E52" s="16"/>
      <c r="F52" s="16"/>
      <c r="G52" s="93">
        <v>2015</v>
      </c>
      <c r="H52" s="107">
        <f>DATE(G52,MONTH('Input|General'!$G$9),1)</f>
        <v>42156</v>
      </c>
      <c r="I52" s="106" t="str">
        <f t="shared" si="0"/>
        <v>2014–15</v>
      </c>
      <c r="T52" s="17"/>
    </row>
    <row r="53" spans="3:20">
      <c r="C53" s="97">
        <v>42522</v>
      </c>
      <c r="D53" s="16" t="s">
        <v>39</v>
      </c>
      <c r="E53" s="16"/>
      <c r="F53" s="16"/>
      <c r="G53" s="93">
        <v>2016</v>
      </c>
      <c r="H53" s="107">
        <f>DATE(G53,MONTH('Input|General'!$G$9),1)</f>
        <v>42522</v>
      </c>
      <c r="I53" s="106" t="str">
        <f t="shared" si="0"/>
        <v>2015–16</v>
      </c>
      <c r="T53" s="17"/>
    </row>
    <row r="54" spans="3:20">
      <c r="C54" s="97">
        <v>42887</v>
      </c>
      <c r="D54" s="16" t="s">
        <v>39</v>
      </c>
      <c r="E54" s="16"/>
      <c r="F54" s="16"/>
      <c r="G54" s="93">
        <v>2017</v>
      </c>
      <c r="H54" s="107">
        <f>DATE(G54,MONTH('Input|General'!$G$9),1)</f>
        <v>42887</v>
      </c>
      <c r="I54" s="106" t="str">
        <f t="shared" si="0"/>
        <v>2016–17</v>
      </c>
      <c r="T54" s="17"/>
    </row>
    <row r="55" spans="3:20">
      <c r="C55" s="97">
        <v>43252</v>
      </c>
      <c r="D55" s="16" t="s">
        <v>39</v>
      </c>
      <c r="E55" s="16"/>
      <c r="F55" s="16"/>
      <c r="G55" s="93">
        <v>2018</v>
      </c>
      <c r="H55" s="107">
        <f>DATE(G55,MONTH('Input|General'!$G$9),1)</f>
        <v>43252</v>
      </c>
      <c r="I55" s="106" t="str">
        <f t="shared" si="0"/>
        <v>2017–18</v>
      </c>
      <c r="T55" s="17"/>
    </row>
    <row r="56" spans="3:20">
      <c r="C56" s="97">
        <v>43617</v>
      </c>
      <c r="D56" s="16" t="s">
        <v>39</v>
      </c>
      <c r="E56" s="16"/>
      <c r="F56" s="16"/>
      <c r="G56" s="93">
        <v>2019</v>
      </c>
      <c r="H56" s="107">
        <f>DATE(G56,MONTH('Input|General'!$G$9),1)</f>
        <v>43617</v>
      </c>
      <c r="I56" s="106" t="str">
        <f t="shared" si="0"/>
        <v>2018–19</v>
      </c>
      <c r="T56" s="17"/>
    </row>
    <row r="57" spans="3:20">
      <c r="C57" s="97">
        <v>43983</v>
      </c>
      <c r="D57" s="16" t="s">
        <v>39</v>
      </c>
      <c r="E57" s="16"/>
      <c r="F57" s="16"/>
      <c r="G57" s="93">
        <v>2020</v>
      </c>
      <c r="H57" s="107">
        <f>DATE(G57,MONTH('Input|General'!$G$9),1)</f>
        <v>43983</v>
      </c>
      <c r="I57" s="106" t="str">
        <f t="shared" si="0"/>
        <v>2019–20</v>
      </c>
      <c r="T57" s="17"/>
    </row>
    <row r="58" spans="3:20">
      <c r="C58" s="97">
        <v>44348</v>
      </c>
      <c r="D58" s="16" t="s">
        <v>39</v>
      </c>
      <c r="E58" s="16"/>
      <c r="F58" s="16"/>
      <c r="G58" s="93">
        <v>2021</v>
      </c>
      <c r="H58" s="107">
        <f>DATE(G58,MONTH('Input|General'!$G$9),1)</f>
        <v>44348</v>
      </c>
      <c r="I58" s="106" t="str">
        <f t="shared" si="0"/>
        <v>2020–21</v>
      </c>
      <c r="T58" s="17"/>
    </row>
    <row r="59" spans="3:20">
      <c r="C59" s="97">
        <v>44713</v>
      </c>
      <c r="D59" s="16" t="s">
        <v>39</v>
      </c>
      <c r="E59" s="16"/>
      <c r="F59" s="16"/>
      <c r="G59" s="93">
        <v>2022</v>
      </c>
      <c r="H59" s="107">
        <f>DATE(G59,MONTH('Input|General'!$G$9),1)</f>
        <v>44713</v>
      </c>
      <c r="I59" s="106" t="str">
        <f t="shared" si="0"/>
        <v>2021–22</v>
      </c>
      <c r="T59" s="17"/>
    </row>
    <row r="60" spans="3:20">
      <c r="C60" s="97">
        <v>45078</v>
      </c>
      <c r="D60" s="16" t="s">
        <v>39</v>
      </c>
      <c r="E60" s="16"/>
      <c r="F60" s="16"/>
      <c r="G60" s="93">
        <v>2023</v>
      </c>
      <c r="H60" s="107">
        <f>DATE(G60,MONTH('Input|General'!$G$9),1)</f>
        <v>45078</v>
      </c>
      <c r="I60" s="106" t="str">
        <f t="shared" si="0"/>
        <v>2022–23</v>
      </c>
      <c r="T60" s="17"/>
    </row>
    <row r="61" spans="3:20">
      <c r="C61" s="97">
        <v>45444</v>
      </c>
      <c r="D61" s="16" t="s">
        <v>39</v>
      </c>
      <c r="E61" s="16"/>
      <c r="F61" s="16"/>
      <c r="G61" s="93">
        <v>2024</v>
      </c>
      <c r="H61" s="107">
        <f>DATE(G61,MONTH('Input|General'!$G$9),1)</f>
        <v>45444</v>
      </c>
      <c r="I61" s="106" t="str">
        <f t="shared" si="0"/>
        <v>2023–24</v>
      </c>
      <c r="T61" s="17"/>
    </row>
    <row r="62" spans="3:20">
      <c r="C62" s="97">
        <v>45809</v>
      </c>
      <c r="D62" s="16" t="s">
        <v>39</v>
      </c>
      <c r="E62" s="16"/>
      <c r="F62" s="16"/>
      <c r="G62" s="93">
        <v>2025</v>
      </c>
      <c r="H62" s="107">
        <f>DATE(G62,MONTH('Input|General'!$G$9),1)</f>
        <v>45809</v>
      </c>
      <c r="I62" s="106" t="str">
        <f t="shared" si="0"/>
        <v>2024–25</v>
      </c>
      <c r="T62" s="17"/>
    </row>
    <row r="63" spans="3:20">
      <c r="C63" s="97">
        <v>46174</v>
      </c>
      <c r="D63" s="16" t="s">
        <v>39</v>
      </c>
      <c r="E63" s="16"/>
      <c r="F63" s="16"/>
      <c r="G63" s="93">
        <v>2026</v>
      </c>
      <c r="H63" s="107">
        <f>DATE(G63,MONTH('Input|General'!$G$9),1)</f>
        <v>46174</v>
      </c>
      <c r="I63" s="106" t="str">
        <f t="shared" si="0"/>
        <v>2025–26</v>
      </c>
      <c r="T63" s="17"/>
    </row>
    <row r="64" spans="3:20">
      <c r="C64" s="97">
        <v>46539</v>
      </c>
      <c r="D64" s="16" t="s">
        <v>39</v>
      </c>
      <c r="E64" s="16"/>
      <c r="F64" s="16"/>
      <c r="G64" s="93">
        <v>2027</v>
      </c>
      <c r="H64" s="107">
        <f>DATE(G64,MONTH('Input|General'!$G$9),1)</f>
        <v>46539</v>
      </c>
      <c r="I64" s="106" t="str">
        <f t="shared" si="0"/>
        <v>2026–27</v>
      </c>
      <c r="T64" s="17"/>
    </row>
    <row r="65" spans="1:30">
      <c r="C65" s="97">
        <v>46905</v>
      </c>
      <c r="D65" s="16" t="s">
        <v>39</v>
      </c>
      <c r="E65" s="16"/>
      <c r="F65" s="16"/>
      <c r="G65" s="93">
        <v>2028</v>
      </c>
      <c r="H65" s="107">
        <f>DATE(G65,MONTH('Input|General'!$G$9),1)</f>
        <v>46905</v>
      </c>
      <c r="I65" s="106" t="str">
        <f t="shared" si="0"/>
        <v>2027–28</v>
      </c>
      <c r="T65" s="17"/>
    </row>
    <row r="66" spans="1:30">
      <c r="C66" s="97">
        <v>47270</v>
      </c>
      <c r="D66" s="16" t="s">
        <v>39</v>
      </c>
      <c r="E66" s="16"/>
      <c r="F66" s="16"/>
      <c r="G66" s="93">
        <v>2029</v>
      </c>
      <c r="H66" s="107">
        <f>DATE(G66,MONTH('Input|General'!$G$9),1)</f>
        <v>47270</v>
      </c>
      <c r="I66" s="106" t="str">
        <f t="shared" si="0"/>
        <v>2028–29</v>
      </c>
      <c r="T66" s="17"/>
    </row>
    <row r="67" spans="1:30">
      <c r="C67" s="97">
        <v>47635</v>
      </c>
      <c r="D67" s="16" t="s">
        <v>39</v>
      </c>
      <c r="E67" s="16"/>
      <c r="F67" s="16"/>
      <c r="G67" s="93">
        <v>2030</v>
      </c>
      <c r="H67" s="107">
        <f>DATE(G67,MONTH('Input|General'!$G$9),1)</f>
        <v>47635</v>
      </c>
      <c r="I67" s="106" t="str">
        <f t="shared" ref="I67" si="1">G67-1&amp;"–"&amp;RIGHT(G67,2)</f>
        <v>2029–30</v>
      </c>
      <c r="T67" s="17"/>
    </row>
    <row r="68" spans="1:30">
      <c r="C68" s="97">
        <v>48000</v>
      </c>
      <c r="D68" s="16" t="s">
        <v>39</v>
      </c>
      <c r="E68" s="16"/>
      <c r="F68" s="16"/>
      <c r="G68" s="93">
        <v>2031</v>
      </c>
      <c r="H68" s="107">
        <f>DATE(G68,MONTH('Input|General'!$G$9),1)</f>
        <v>48000</v>
      </c>
      <c r="I68" s="106" t="str">
        <f t="shared" si="0"/>
        <v>2030–31</v>
      </c>
      <c r="T68" s="17"/>
    </row>
    <row r="69" spans="1:30"/>
    <row r="70" spans="1:30" customFormat="1" ht="12.75">
      <c r="A70" s="32"/>
      <c r="B70" s="38" t="s">
        <v>212</v>
      </c>
      <c r="C70" s="32"/>
      <c r="D70" s="32"/>
      <c r="E70" s="32"/>
      <c r="F70" s="33"/>
      <c r="G70" s="33"/>
      <c r="H70" s="33"/>
      <c r="I70" s="33"/>
      <c r="J70" s="34"/>
      <c r="K70" s="35"/>
      <c r="L70" s="34"/>
      <c r="M70" s="35"/>
      <c r="N70" s="34"/>
      <c r="O70" s="34"/>
      <c r="P70" s="34"/>
      <c r="Q70" s="34"/>
      <c r="R70" s="34"/>
      <c r="S70" s="34"/>
      <c r="T70" s="34"/>
      <c r="U70" s="34"/>
      <c r="V70" s="35"/>
      <c r="W70" s="35"/>
      <c r="X70" s="36"/>
      <c r="Y70" s="36"/>
      <c r="Z70" s="36"/>
      <c r="AA70" s="36"/>
      <c r="AB70" s="36"/>
      <c r="AC70" s="37"/>
      <c r="AD70" s="37"/>
    </row>
    <row r="71" spans="1:30"/>
    <row r="72" spans="1:30">
      <c r="C72" s="13" t="str">
        <f>B70</f>
        <v>Regulatory years</v>
      </c>
      <c r="D72" s="20" t="s">
        <v>33</v>
      </c>
      <c r="E72" s="20"/>
      <c r="F72" s="14"/>
      <c r="G72" s="14" t="s">
        <v>213</v>
      </c>
      <c r="H72" s="14" t="s">
        <v>41</v>
      </c>
    </row>
    <row r="73" spans="1:30">
      <c r="C73" s="15" t="s">
        <v>214</v>
      </c>
      <c r="D73" s="16" t="s">
        <v>98</v>
      </c>
      <c r="E73" s="20"/>
      <c r="F73" s="14"/>
      <c r="G73" s="106" t="str">
        <f>IF(H73="","",IF(MONTH(H73)=12,YEAR(H73),YEAR(H73)-1&amp;"–"&amp;RIGHT(YEAR(H73),2)))</f>
        <v>2020–21</v>
      </c>
      <c r="H73" s="107">
        <f>DATE(PPFirstYear-1,MONTH('Input|General'!$G$9),1)</f>
        <v>44348</v>
      </c>
    </row>
    <row r="74" spans="1:30">
      <c r="C74" s="15" t="s">
        <v>215</v>
      </c>
      <c r="D74" s="16" t="s">
        <v>98</v>
      </c>
      <c r="E74" s="16"/>
      <c r="F74" s="16"/>
      <c r="G74" s="106" t="str">
        <f t="shared" ref="G74:G83" si="2">IF(H74="","",IF(MONTH(H74)=12,YEAR(H74),YEAR(H74)-1&amp;"–"&amp;RIGHT(YEAR(H74),2)))</f>
        <v>2021–22</v>
      </c>
      <c r="H74" s="107">
        <f>DATE(PPFirstYear,MONTH('Input|General'!$G$9),1)</f>
        <v>44713</v>
      </c>
    </row>
    <row r="75" spans="1:30">
      <c r="C75" s="15" t="s">
        <v>216</v>
      </c>
      <c r="D75" s="16" t="s">
        <v>98</v>
      </c>
      <c r="E75" s="16"/>
      <c r="F75" s="16"/>
      <c r="G75" s="106" t="str">
        <f t="shared" si="2"/>
        <v>2022–23</v>
      </c>
      <c r="H75" s="107">
        <f>IF(PPLastYear-PPFirstYear&lt;1,"",DATE(PPFirstYear+1,MONTH('Input|General'!$G$9),1))</f>
        <v>45078</v>
      </c>
    </row>
    <row r="76" spans="1:30">
      <c r="C76" s="15" t="s">
        <v>217</v>
      </c>
      <c r="D76" s="16" t="s">
        <v>98</v>
      </c>
      <c r="E76" s="16"/>
      <c r="F76" s="16"/>
      <c r="G76" s="106" t="str">
        <f t="shared" si="2"/>
        <v>2023–24</v>
      </c>
      <c r="H76" s="107">
        <f>IF(PPLastYear-PPFirstYear&lt;2,"",DATE(PPFirstYear+2,MONTH('Input|General'!$G$9),1))</f>
        <v>45444</v>
      </c>
    </row>
    <row r="77" spans="1:30">
      <c r="C77" s="15" t="s">
        <v>218</v>
      </c>
      <c r="D77" s="16" t="s">
        <v>98</v>
      </c>
      <c r="E77" s="16"/>
      <c r="F77" s="16"/>
      <c r="G77" s="106" t="str">
        <f t="shared" si="2"/>
        <v>2024–25</v>
      </c>
      <c r="H77" s="107">
        <f>IF(PPLastYear-PPFirstYear&lt;3,"",DATE(PPFirstYear+3,MONTH('Input|General'!$G$9),1))</f>
        <v>45809</v>
      </c>
    </row>
    <row r="78" spans="1:30">
      <c r="C78" s="15" t="s">
        <v>219</v>
      </c>
      <c r="D78" s="16" t="s">
        <v>98</v>
      </c>
      <c r="E78" s="16"/>
      <c r="F78" s="16"/>
      <c r="G78" s="106" t="str">
        <f t="shared" si="2"/>
        <v>2025–26</v>
      </c>
      <c r="H78" s="107">
        <f>IF(PPLastYear-PPFirstYear&lt;4,"",DATE(PPFirstYear+4,MONTH('Input|General'!$G$9),1))</f>
        <v>46174</v>
      </c>
    </row>
    <row r="79" spans="1:30">
      <c r="C79" s="15" t="s">
        <v>220</v>
      </c>
      <c r="D79" s="16" t="s">
        <v>98</v>
      </c>
      <c r="E79" s="16"/>
      <c r="F79" s="16"/>
      <c r="G79" s="106" t="str">
        <f t="shared" si="2"/>
        <v/>
      </c>
      <c r="H79" s="107" t="str">
        <f>IF(PPLastYear-PPFirstYear&lt;5,"",DATE(PPFirstYear+5,MONTH('Input|General'!$G$9),1))</f>
        <v/>
      </c>
    </row>
    <row r="80" spans="1:30">
      <c r="C80" s="15" t="s">
        <v>221</v>
      </c>
      <c r="D80" s="16" t="s">
        <v>98</v>
      </c>
      <c r="E80" s="16"/>
      <c r="F80" s="16"/>
      <c r="G80" s="106" t="str">
        <f t="shared" si="2"/>
        <v>2026–27</v>
      </c>
      <c r="H80" s="107">
        <f>DATE(FPFirstYear,MONTH('Input|General'!$G$9),1)</f>
        <v>46539</v>
      </c>
      <c r="T80" s="17"/>
    </row>
    <row r="81" spans="1:30">
      <c r="C81" s="15" t="s">
        <v>222</v>
      </c>
      <c r="D81" s="16" t="s">
        <v>98</v>
      </c>
      <c r="E81" s="16"/>
      <c r="F81" s="16"/>
      <c r="G81" s="106" t="str">
        <f t="shared" si="2"/>
        <v>2027–28</v>
      </c>
      <c r="H81" s="107">
        <f>IF(FPLastYear-FPFirstYear&lt;1,"",DATE(FPFirstYear+1,MONTH('Input|General'!$G$9),1))</f>
        <v>46905</v>
      </c>
      <c r="T81" s="17"/>
    </row>
    <row r="82" spans="1:30">
      <c r="C82" s="15" t="s">
        <v>223</v>
      </c>
      <c r="D82" s="16" t="s">
        <v>98</v>
      </c>
      <c r="E82" s="16"/>
      <c r="F82" s="16"/>
      <c r="G82" s="106" t="str">
        <f t="shared" si="2"/>
        <v>2028–29</v>
      </c>
      <c r="H82" s="107">
        <f>IF(FPLastYear-FPFirstYear&lt;2,"",DATE(FPFirstYear+2,MONTH('Input|General'!$G$9),1))</f>
        <v>47270</v>
      </c>
      <c r="T82" s="17"/>
    </row>
    <row r="83" spans="1:30">
      <c r="C83" s="15" t="s">
        <v>224</v>
      </c>
      <c r="D83" s="16" t="s">
        <v>98</v>
      </c>
      <c r="E83" s="16"/>
      <c r="F83" s="16"/>
      <c r="G83" s="106" t="str">
        <f t="shared" si="2"/>
        <v>2029–30</v>
      </c>
      <c r="H83" s="107">
        <f>IF(FPLastYear-FPFirstYear&lt;3,"",DATE(FPFirstYear+3,MONTH('Input|General'!$G$9),1))</f>
        <v>47635</v>
      </c>
      <c r="T83" s="17"/>
    </row>
    <row r="84" spans="1:30">
      <c r="C84" s="15" t="s">
        <v>225</v>
      </c>
      <c r="D84" s="16" t="s">
        <v>98</v>
      </c>
      <c r="E84" s="16"/>
      <c r="F84" s="16"/>
      <c r="G84" s="106" t="str">
        <f>IF(H84="","",IF(MONTH(H84)=12,YEAR(H84),YEAR(H84)-1&amp;"–"&amp;RIGHT(YEAR(H84),2)))</f>
        <v>2030–31</v>
      </c>
      <c r="H84" s="107">
        <f>IF(FPLastYear-FPFirstYear&lt;4,"",DATE(FPFirstYear+4,MONTH('Input|General'!$G$9),1))</f>
        <v>48000</v>
      </c>
      <c r="T84" s="17"/>
    </row>
    <row r="85" spans="1:30">
      <c r="C85" s="15"/>
      <c r="D85" s="16"/>
      <c r="E85" s="16"/>
      <c r="F85" s="16"/>
      <c r="G85" s="113"/>
      <c r="H85" s="114"/>
      <c r="T85" s="17"/>
    </row>
    <row r="86" spans="1:30" customFormat="1" ht="12.75">
      <c r="A86" s="32"/>
      <c r="B86" s="38" t="s">
        <v>23</v>
      </c>
      <c r="C86" s="32"/>
      <c r="D86" s="32"/>
      <c r="E86" s="32"/>
      <c r="F86" s="33"/>
      <c r="G86" s="33"/>
      <c r="H86" s="33"/>
      <c r="I86" s="33"/>
      <c r="J86" s="34"/>
      <c r="K86" s="35"/>
      <c r="L86" s="34"/>
      <c r="M86" s="35"/>
      <c r="N86" s="34"/>
      <c r="O86" s="34"/>
      <c r="P86" s="34"/>
      <c r="Q86" s="34"/>
      <c r="R86" s="34"/>
      <c r="S86" s="34"/>
      <c r="T86" s="34"/>
      <c r="U86" s="34"/>
      <c r="V86" s="35"/>
      <c r="W86" s="35"/>
      <c r="X86" s="36"/>
      <c r="Y86" s="36"/>
      <c r="Z86" s="36"/>
      <c r="AA86" s="36"/>
      <c r="AB86" s="36"/>
      <c r="AC86" s="37"/>
      <c r="AD86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9:Q69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headerFooter>
    <oddFooter>&amp;C_x000D_&amp;1#&amp;"Aptos"&amp;10&amp;K000000 Ringfenced - Official</oddFooter>
  </headerFooter>
  <ignoredErrors>
    <ignoredError sqref="G18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24BB75BCEF649A3A4EA2C8EA2DEE6" ma:contentTypeVersion="15" ma:contentTypeDescription="Create a new document." ma:contentTypeScope="" ma:versionID="31565d79f58fe6646b3787d90613e683">
  <xsd:schema xmlns:xsd="http://www.w3.org/2001/XMLSchema" xmlns:xs="http://www.w3.org/2001/XMLSchema" xmlns:p="http://schemas.microsoft.com/office/2006/metadata/properties" xmlns:ns2="20e708b7-70c9-4619-8adb-98af544b7362" xmlns:ns3="d31dddaa-878a-4ea0-a049-155b52ca24f9" targetNamespace="http://schemas.microsoft.com/office/2006/metadata/properties" ma:root="true" ma:fieldsID="75f011d64a885b09b0e9cd6c01dc61da" ns2:_="" ns3:_="">
    <xsd:import namespace="20e708b7-70c9-4619-8adb-98af544b7362"/>
    <xsd:import namespace="d31dddaa-878a-4ea0-a049-155b52ca24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e708b7-70c9-4619-8adb-98af544b73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6dec70b-5686-468f-b815-f2accaae55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1dddaa-878a-4ea0-a049-155b52ca24f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40432c59-4d96-4a01-9b84-7b4fb17f7643}" ma:internalName="TaxCatchAll" ma:showField="CatchAllData" ma:web="d31dddaa-878a-4ea0-a049-155b52ca24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31dddaa-878a-4ea0-a049-155b52ca24f9" xsi:nil="true"/>
    <lcf76f155ced4ddcb4097134ff3c332f xmlns="20e708b7-70c9-4619-8adb-98af544b736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0AEE6F-4767-44FF-9E89-39F2C832E7FC}"/>
</file>

<file path=customXml/itemProps2.xml><?xml version="1.0" encoding="utf-8"?>
<ds:datastoreItem xmlns:ds="http://schemas.openxmlformats.org/officeDocument/2006/customXml" ds:itemID="{1D7F2A85-A722-4855-881B-F78A74742A73}"/>
</file>

<file path=customXml/itemProps3.xml><?xml version="1.0" encoding="utf-8"?>
<ds:datastoreItem xmlns:ds="http://schemas.openxmlformats.org/officeDocument/2006/customXml" ds:itemID="{153CB317-5F1D-4C86-969B-33487522B4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Hardin, Alexis</dc:creator>
  <cp:keywords/>
  <dc:description/>
  <cp:lastModifiedBy>Leah Ross</cp:lastModifiedBy>
  <cp:revision/>
  <dcterms:created xsi:type="dcterms:W3CDTF">2025-11-13T00:45:04Z</dcterms:created>
  <dcterms:modified xsi:type="dcterms:W3CDTF">2026-01-14T02:27:48Z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2025-11-14T04:08:42Z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1cfe65a2-8d03-41a3-ad85-5e0ac148a2ec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  <property fmtid="{D5CDD505-2E9C-101B-9397-08002B2CF9AE}" pid="10" name="ContentTypeId">
    <vt:lpwstr>0x010100C8F24BB75BCEF649A3A4EA2C8EA2DEE6</vt:lpwstr>
  </property>
  <property fmtid="{D5CDD505-2E9C-101B-9397-08002B2CF9AE}" pid="11" name="MediaServiceImageTags">
    <vt:lpwstr/>
  </property>
  <property fmtid="{D5CDD505-2E9C-101B-9397-08002B2CF9AE}" pid="12" name="MSIP_Label_bbee0ac0-f13e-468c-9ba8-7c112f3e5d4e_Enabled">
    <vt:lpwstr>true</vt:lpwstr>
  </property>
  <property fmtid="{D5CDD505-2E9C-101B-9397-08002B2CF9AE}" pid="13" name="MSIP_Label_bbee0ac0-f13e-468c-9ba8-7c112f3e5d4e_SetDate">
    <vt:lpwstr>2025-11-27T23:27:17Z</vt:lpwstr>
  </property>
  <property fmtid="{D5CDD505-2E9C-101B-9397-08002B2CF9AE}" pid="14" name="MSIP_Label_bbee0ac0-f13e-468c-9ba8-7c112f3e5d4e_Method">
    <vt:lpwstr>Privileged</vt:lpwstr>
  </property>
  <property fmtid="{D5CDD505-2E9C-101B-9397-08002B2CF9AE}" pid="15" name="MSIP_Label_bbee0ac0-f13e-468c-9ba8-7c112f3e5d4e_Name">
    <vt:lpwstr>Ringfenced - Official</vt:lpwstr>
  </property>
  <property fmtid="{D5CDD505-2E9C-101B-9397-08002B2CF9AE}" pid="16" name="MSIP_Label_bbee0ac0-f13e-468c-9ba8-7c112f3e5d4e_SiteId">
    <vt:lpwstr>2a61d4c5-077b-4aba-8d42-5cd0ebd862ef</vt:lpwstr>
  </property>
  <property fmtid="{D5CDD505-2E9C-101B-9397-08002B2CF9AE}" pid="17" name="MSIP_Label_bbee0ac0-f13e-468c-9ba8-7c112f3e5d4e_ActionId">
    <vt:lpwstr>7220cf52-6ed8-42ec-870d-e73226ebd09f</vt:lpwstr>
  </property>
  <property fmtid="{D5CDD505-2E9C-101B-9397-08002B2CF9AE}" pid="18" name="MSIP_Label_bbee0ac0-f13e-468c-9ba8-7c112f3e5d4e_ContentBits">
    <vt:lpwstr>2</vt:lpwstr>
  </property>
  <property fmtid="{D5CDD505-2E9C-101B-9397-08002B2CF9AE}" pid="19" name="MSIP_Label_bbee0ac0-f13e-468c-9ba8-7c112f3e5d4e_Tag">
    <vt:lpwstr>10, 0, 1, 1</vt:lpwstr>
  </property>
</Properties>
</file>