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filterPrivacy="1" codeName="ThisWorkbook" defaultThemeVersion="124226"/>
  <xr:revisionPtr revIDLastSave="0" documentId="8_{90B1E120-7677-4341-947F-6C5CC91F44BB}" xr6:coauthVersionLast="47" xr6:coauthVersionMax="47" xr10:uidLastSave="{00000000-0000-0000-0000-000000000000}"/>
  <bookViews>
    <workbookView xWindow="-108" yWindow="-108" windowWidth="23256" windowHeight="12456" tabRatio="804" firstSheet="6" activeTab="6" xr2:uid="{00000000-000D-0000-FFFF-FFFF00000000}"/>
  </bookViews>
  <sheets>
    <sheet name="Index" sheetId="1" r:id="rId1"/>
    <sheet name="Input|General" sheetId="54" r:id="rId2"/>
    <sheet name="Input|Inflation" sheetId="55" r:id="rId3"/>
    <sheet name="Input|Rate of change" sheetId="2" r:id="rId4"/>
    <sheet name="Input|Reported opex" sheetId="58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'Lookup|Tables'!$H$73:$H$79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'Lookup|Tables'!$H$73:$H$78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7" i="2" l="1"/>
  <c r="K31" i="2"/>
  <c r="M31" i="2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82" i="55" s="1"/>
  <c r="H79" i="55"/>
  <c r="H80" i="55"/>
  <c r="H84" i="55" s="1"/>
  <c r="H81" i="55"/>
  <c r="H21" i="55"/>
  <c r="H88" i="55" l="1"/>
  <c r="H85" i="55"/>
  <c r="H83" i="55"/>
  <c r="H86" i="55"/>
  <c r="I81" i="55"/>
  <c r="V81" i="55" s="1"/>
  <c r="I73" i="55"/>
  <c r="V73" i="55" s="1"/>
  <c r="I60" i="55"/>
  <c r="V60" i="55" s="1"/>
  <c r="J88" i="2"/>
  <c r="Q47" i="2"/>
  <c r="S47" i="2"/>
  <c r="V89" i="55"/>
  <c r="V90" i="55"/>
  <c r="V91" i="55"/>
  <c r="V92" i="55"/>
  <c r="V93" i="55"/>
  <c r="V94" i="55"/>
  <c r="V95" i="55"/>
  <c r="V96" i="55"/>
  <c r="V97" i="55"/>
  <c r="V98" i="55"/>
  <c r="V99" i="55"/>
  <c r="V100" i="55"/>
  <c r="R58" i="2"/>
  <c r="Q58" i="2"/>
  <c r="P58" i="2"/>
  <c r="P60" i="2" s="1"/>
  <c r="N15" i="58"/>
  <c r="N16" i="42" s="1"/>
  <c r="M15" i="58"/>
  <c r="L15" i="58"/>
  <c r="L14" i="42" s="1"/>
  <c r="K15" i="58"/>
  <c r="J15" i="58"/>
  <c r="I68" i="4"/>
  <c r="J4" i="58"/>
  <c r="J10" i="58"/>
  <c r="K4" i="58"/>
  <c r="K10" i="58"/>
  <c r="L4" i="58"/>
  <c r="L10" i="58"/>
  <c r="M4" i="58"/>
  <c r="M10" i="58"/>
  <c r="N4" i="58"/>
  <c r="N10" i="58"/>
  <c r="O4" i="58"/>
  <c r="O10" i="58"/>
  <c r="P4" i="58"/>
  <c r="P10" i="58"/>
  <c r="Q4" i="58"/>
  <c r="Q10" i="58"/>
  <c r="R4" i="58"/>
  <c r="R10" i="58"/>
  <c r="S4" i="58"/>
  <c r="S10" i="58"/>
  <c r="V23" i="58"/>
  <c r="V24" i="58"/>
  <c r="V25" i="58"/>
  <c r="V26" i="58"/>
  <c r="V27" i="58"/>
  <c r="J34" i="58"/>
  <c r="K34" i="58"/>
  <c r="L34" i="58"/>
  <c r="M34" i="58"/>
  <c r="N34" i="58"/>
  <c r="O34" i="58"/>
  <c r="P34" i="58"/>
  <c r="Q34" i="58"/>
  <c r="R34" i="58"/>
  <c r="S34" i="58"/>
  <c r="V42" i="58"/>
  <c r="V43" i="58"/>
  <c r="V44" i="58"/>
  <c r="V45" i="58"/>
  <c r="V53" i="58"/>
  <c r="V54" i="58"/>
  <c r="V55" i="58"/>
  <c r="J61" i="58"/>
  <c r="K61" i="58"/>
  <c r="L61" i="58"/>
  <c r="M61" i="58"/>
  <c r="N61" i="58"/>
  <c r="O61" i="58"/>
  <c r="P61" i="58"/>
  <c r="Q61" i="58"/>
  <c r="R61" i="58"/>
  <c r="S61" i="58"/>
  <c r="V63" i="58"/>
  <c r="V64" i="58"/>
  <c r="V65" i="58"/>
  <c r="V66" i="58"/>
  <c r="V67" i="58"/>
  <c r="V69" i="58"/>
  <c r="V71" i="58"/>
  <c r="I28" i="55"/>
  <c r="I37" i="55"/>
  <c r="V37" i="55" s="1"/>
  <c r="I30" i="55"/>
  <c r="V30" i="55" s="1"/>
  <c r="I35" i="55"/>
  <c r="V35" i="55" s="1"/>
  <c r="I45" i="55"/>
  <c r="V45" i="55" s="1"/>
  <c r="I38" i="55"/>
  <c r="V38" i="55" s="1"/>
  <c r="I42" i="55"/>
  <c r="V42" i="55" s="1"/>
  <c r="I40" i="55"/>
  <c r="V40" i="55" s="1"/>
  <c r="I48" i="55"/>
  <c r="V48" i="55" s="1"/>
  <c r="I47" i="55"/>
  <c r="V47" i="55" s="1"/>
  <c r="I56" i="55"/>
  <c r="V56" i="55" s="1"/>
  <c r="I49" i="55"/>
  <c r="V49" i="55" s="1"/>
  <c r="I54" i="55"/>
  <c r="V54" i="55" s="1"/>
  <c r="I59" i="55"/>
  <c r="V59" i="55" s="1"/>
  <c r="I68" i="55"/>
  <c r="V68" i="55" s="1"/>
  <c r="I69" i="55"/>
  <c r="V69" i="55" s="1"/>
  <c r="I70" i="55"/>
  <c r="K12" i="2" s="1"/>
  <c r="I71" i="55"/>
  <c r="V71" i="55" s="1"/>
  <c r="I76" i="55"/>
  <c r="V76" i="55" s="1"/>
  <c r="I75" i="55"/>
  <c r="V75" i="55" s="1"/>
  <c r="I80" i="55"/>
  <c r="V87" i="55"/>
  <c r="V88" i="55"/>
  <c r="W32" i="53"/>
  <c r="W18" i="53"/>
  <c r="W19" i="53"/>
  <c r="W20" i="53"/>
  <c r="B2" i="55"/>
  <c r="V9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E92" i="2"/>
  <c r="E91" i="2"/>
  <c r="E90" i="2"/>
  <c r="E89" i="2"/>
  <c r="E88" i="2"/>
  <c r="E87" i="2"/>
  <c r="S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/>
  <c r="F69" i="58"/>
  <c r="F28" i="42"/>
  <c r="F67" i="58"/>
  <c r="F49" i="42"/>
  <c r="F66" i="58"/>
  <c r="F46" i="42"/>
  <c r="F65" i="58"/>
  <c r="F43" i="42"/>
  <c r="F64" i="58"/>
  <c r="F40" i="42"/>
  <c r="F63" i="58"/>
  <c r="F37" i="42"/>
  <c r="E69" i="58"/>
  <c r="E28" i="42"/>
  <c r="E67" i="58"/>
  <c r="E49" i="42"/>
  <c r="E66" i="58"/>
  <c r="E46" i="42"/>
  <c r="E65" i="58"/>
  <c r="E43" i="42"/>
  <c r="E64" i="58"/>
  <c r="E40" i="42"/>
  <c r="E63" i="58"/>
  <c r="E37" i="42"/>
  <c r="E57" i="58"/>
  <c r="E12" i="42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/>
  <c r="E21" i="58"/>
  <c r="E20" i="58"/>
  <c r="E19" i="58"/>
  <c r="E13" i="58"/>
  <c r="E15" i="58"/>
  <c r="J4" i="42"/>
  <c r="J49" i="42"/>
  <c r="K4" i="42"/>
  <c r="K103" i="42"/>
  <c r="L4" i="42"/>
  <c r="L103" i="42"/>
  <c r="M4" i="42"/>
  <c r="N4" i="42"/>
  <c r="N103" i="42"/>
  <c r="O4" i="42"/>
  <c r="O103" i="42"/>
  <c r="P4" i="42"/>
  <c r="P58" i="42"/>
  <c r="Q4" i="42"/>
  <c r="Q103" i="42"/>
  <c r="R4" i="42"/>
  <c r="R103" i="42"/>
  <c r="S4" i="42"/>
  <c r="S103" i="42"/>
  <c r="T4" i="42"/>
  <c r="T91" i="42"/>
  <c r="F8" i="42"/>
  <c r="F24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/>
  <c r="T18" i="44"/>
  <c r="T64" i="42"/>
  <c r="T67" i="42"/>
  <c r="U79" i="2"/>
  <c r="U80" i="2"/>
  <c r="U4" i="2"/>
  <c r="U94" i="2"/>
  <c r="U97" i="2"/>
  <c r="H79" i="4"/>
  <c r="G79" i="4"/>
  <c r="T4" i="53"/>
  <c r="T38" i="53"/>
  <c r="T42" i="53"/>
  <c r="T4" i="58"/>
  <c r="C16" i="16"/>
  <c r="D16" i="16"/>
  <c r="C15" i="16"/>
  <c r="D15" i="16"/>
  <c r="C14" i="16"/>
  <c r="D14" i="16"/>
  <c r="C13" i="16"/>
  <c r="D13" i="16"/>
  <c r="C12" i="16"/>
  <c r="D12" i="16"/>
  <c r="C11" i="16"/>
  <c r="D11" i="16"/>
  <c r="H73" i="4"/>
  <c r="G73" i="4"/>
  <c r="O47" i="58"/>
  <c r="P47" i="58"/>
  <c r="Q47" i="58"/>
  <c r="R47" i="58"/>
  <c r="S47" i="58"/>
  <c r="C96" i="2" a="1"/>
  <c r="C99" i="2"/>
  <c r="C92" i="2"/>
  <c r="C91" i="2"/>
  <c r="C90" i="2"/>
  <c r="C89" i="2"/>
  <c r="F19" i="42"/>
  <c r="F8" i="44"/>
  <c r="F18" i="44"/>
  <c r="E24" i="42"/>
  <c r="E22" i="42"/>
  <c r="E20" i="42"/>
  <c r="O29" i="58"/>
  <c r="P29" i="58"/>
  <c r="Q29" i="58"/>
  <c r="R29" i="58"/>
  <c r="S29" i="58"/>
  <c r="D15" i="58"/>
  <c r="O15" i="58"/>
  <c r="P15" i="58"/>
  <c r="Q15" i="58"/>
  <c r="R15" i="58"/>
  <c r="S15" i="58"/>
  <c r="E29" i="42"/>
  <c r="C29" i="42"/>
  <c r="E35" i="42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8" i="4"/>
  <c r="G78" i="4"/>
  <c r="H77" i="4"/>
  <c r="G77" i="4"/>
  <c r="H76" i="4"/>
  <c r="G76" i="4"/>
  <c r="H75" i="4"/>
  <c r="G75" i="4"/>
  <c r="H84" i="4"/>
  <c r="G84" i="4"/>
  <c r="H83" i="4"/>
  <c r="G83" i="4"/>
  <c r="H82" i="4"/>
  <c r="G82" i="4"/>
  <c r="H81" i="4"/>
  <c r="G81" i="4"/>
  <c r="H80" i="4"/>
  <c r="H74" i="4"/>
  <c r="G74" i="4"/>
  <c r="C47" i="4"/>
  <c r="E31" i="42"/>
  <c r="E26" i="42"/>
  <c r="S4" i="44"/>
  <c r="S11" i="44"/>
  <c r="R4" i="44"/>
  <c r="R11" i="44"/>
  <c r="Q4" i="44"/>
  <c r="Q11" i="44"/>
  <c r="P4" i="44"/>
  <c r="P11" i="44"/>
  <c r="O4" i="44"/>
  <c r="O11" i="44"/>
  <c r="N4" i="44"/>
  <c r="N11" i="44"/>
  <c r="M4" i="44"/>
  <c r="M11" i="44"/>
  <c r="L4" i="44"/>
  <c r="L11" i="44"/>
  <c r="K4" i="44"/>
  <c r="K11" i="44"/>
  <c r="K17" i="44"/>
  <c r="J4" i="44"/>
  <c r="J11" i="44"/>
  <c r="J16" i="44"/>
  <c r="S35" i="42"/>
  <c r="S4" i="53"/>
  <c r="S10" i="53"/>
  <c r="R4" i="53"/>
  <c r="R38" i="53"/>
  <c r="Q4" i="53"/>
  <c r="Q38" i="53"/>
  <c r="P4" i="53"/>
  <c r="O4" i="53"/>
  <c r="O38" i="53"/>
  <c r="N4" i="53"/>
  <c r="N10" i="53"/>
  <c r="N22" i="53"/>
  <c r="M4" i="53"/>
  <c r="M38" i="53"/>
  <c r="M42" i="53"/>
  <c r="L4" i="53"/>
  <c r="L38" i="53"/>
  <c r="L42" i="53"/>
  <c r="K4" i="53"/>
  <c r="J4" i="53"/>
  <c r="J38" i="53"/>
  <c r="J42" i="53"/>
  <c r="J4" i="2"/>
  <c r="J94" i="2"/>
  <c r="J96" i="2"/>
  <c r="T4" i="2"/>
  <c r="T75" i="2"/>
  <c r="S4" i="2"/>
  <c r="S64" i="2"/>
  <c r="R4" i="2"/>
  <c r="R49" i="2"/>
  <c r="Q4" i="2"/>
  <c r="Q94" i="2"/>
  <c r="P4" i="2"/>
  <c r="P10" i="2"/>
  <c r="P12" i="2"/>
  <c r="O4" i="2"/>
  <c r="O64" i="2"/>
  <c r="N4" i="2"/>
  <c r="M4" i="2"/>
  <c r="M94" i="2"/>
  <c r="M96" i="2"/>
  <c r="L4" i="2"/>
  <c r="L103" i="2"/>
  <c r="L107" i="2"/>
  <c r="K4" i="2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M43" i="42"/>
  <c r="S8" i="54"/>
  <c r="C49" i="42"/>
  <c r="C50" i="42"/>
  <c r="C46" i="42"/>
  <c r="C47" i="42"/>
  <c r="C43" i="42"/>
  <c r="C44" i="42"/>
  <c r="C40" i="42"/>
  <c r="C41" i="42"/>
  <c r="C37" i="42"/>
  <c r="C38" i="42"/>
  <c r="F12" i="42"/>
  <c r="V75" i="2"/>
  <c r="C2" i="58"/>
  <c r="C1" i="58"/>
  <c r="E23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14" i="42"/>
  <c r="M91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/>
  <c r="C52" i="2"/>
  <c r="C53" i="2"/>
  <c r="C54" i="2"/>
  <c r="C55" i="2"/>
  <c r="C56" i="2"/>
  <c r="C57" i="2"/>
  <c r="E58" i="2"/>
  <c r="E57" i="2"/>
  <c r="E56" i="2"/>
  <c r="E55" i="2"/>
  <c r="E54" i="2"/>
  <c r="E53" i="2"/>
  <c r="E52" i="2"/>
  <c r="E51" i="2"/>
  <c r="B2" i="53"/>
  <c r="B1" i="53"/>
  <c r="E105" i="2"/>
  <c r="B2" i="2"/>
  <c r="B1" i="2"/>
  <c r="C72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K12" i="42"/>
  <c r="S91" i="42"/>
  <c r="S31" i="42"/>
  <c r="R16" i="42"/>
  <c r="R75" i="42"/>
  <c r="R49" i="42"/>
  <c r="R33" i="42"/>
  <c r="K91" i="42"/>
  <c r="S49" i="42"/>
  <c r="S75" i="42"/>
  <c r="K49" i="42"/>
  <c r="S46" i="42"/>
  <c r="S43" i="42"/>
  <c r="K107" i="42"/>
  <c r="S14" i="42"/>
  <c r="S33" i="42"/>
  <c r="K19" i="42"/>
  <c r="K106" i="42"/>
  <c r="K16" i="42"/>
  <c r="S40" i="42"/>
  <c r="K40" i="42"/>
  <c r="S10" i="42"/>
  <c r="S19" i="42"/>
  <c r="S21" i="42"/>
  <c r="R10" i="42"/>
  <c r="R91" i="42"/>
  <c r="R31" i="42"/>
  <c r="J91" i="42"/>
  <c r="R46" i="42"/>
  <c r="R14" i="42"/>
  <c r="R43" i="42"/>
  <c r="R19" i="42"/>
  <c r="R40" i="42"/>
  <c r="R21" i="42"/>
  <c r="R37" i="42"/>
  <c r="R12" i="42"/>
  <c r="R23" i="42"/>
  <c r="L106" i="42"/>
  <c r="S23" i="42"/>
  <c r="S37" i="42"/>
  <c r="K105" i="42"/>
  <c r="S16" i="42"/>
  <c r="K31" i="42"/>
  <c r="S12" i="42"/>
  <c r="L40" i="42"/>
  <c r="T75" i="42"/>
  <c r="T106" i="42"/>
  <c r="L75" i="42"/>
  <c r="T105" i="42"/>
  <c r="L16" i="42"/>
  <c r="T107" i="42"/>
  <c r="L105" i="42"/>
  <c r="L46" i="42"/>
  <c r="L49" i="42"/>
  <c r="L10" i="42"/>
  <c r="L91" i="42"/>
  <c r="L43" i="42"/>
  <c r="L23" i="42"/>
  <c r="L107" i="42"/>
  <c r="L37" i="42"/>
  <c r="P21" i="42"/>
  <c r="P23" i="42"/>
  <c r="M14" i="42"/>
  <c r="P16" i="42"/>
  <c r="P43" i="42"/>
  <c r="R10" i="53"/>
  <c r="F17" i="44"/>
  <c r="O21" i="42"/>
  <c r="O43" i="42"/>
  <c r="O12" i="42"/>
  <c r="P75" i="42"/>
  <c r="M49" i="2"/>
  <c r="M60" i="2"/>
  <c r="R26" i="53"/>
  <c r="P12" i="42"/>
  <c r="P91" i="42"/>
  <c r="P40" i="42"/>
  <c r="M24" i="2"/>
  <c r="J10" i="53"/>
  <c r="P49" i="42"/>
  <c r="Q91" i="42"/>
  <c r="E19" i="42"/>
  <c r="P10" i="42"/>
  <c r="J26" i="53"/>
  <c r="J34" i="53"/>
  <c r="Q40" i="42"/>
  <c r="P46" i="42"/>
  <c r="M75" i="2"/>
  <c r="J75" i="2"/>
  <c r="P33" i="42"/>
  <c r="P35" i="42"/>
  <c r="P37" i="42"/>
  <c r="J49" i="2"/>
  <c r="J60" i="2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75" i="2"/>
  <c r="N12" i="42"/>
  <c r="F35" i="42"/>
  <c r="F96" i="42"/>
  <c r="F94" i="42"/>
  <c r="F97" i="42"/>
  <c r="F17" i="42"/>
  <c r="F80" i="42"/>
  <c r="N46" i="42"/>
  <c r="F33" i="42"/>
  <c r="F81" i="42"/>
  <c r="F95" i="42"/>
  <c r="F44" i="42"/>
  <c r="F47" i="42"/>
  <c r="F82" i="42"/>
  <c r="F99" i="42"/>
  <c r="N10" i="42"/>
  <c r="N19" i="42"/>
  <c r="F26" i="42"/>
  <c r="F29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F31" i="42"/>
  <c r="F52" i="42"/>
  <c r="N14" i="42"/>
  <c r="F77" i="42"/>
  <c r="F85" i="42"/>
  <c r="F15" i="44"/>
  <c r="M10" i="53"/>
  <c r="M22" i="53"/>
  <c r="M26" i="53"/>
  <c r="M34" i="53"/>
  <c r="N26" i="53"/>
  <c r="N34" i="53"/>
  <c r="S24" i="2"/>
  <c r="S10" i="2"/>
  <c r="S12" i="2"/>
  <c r="O10" i="53"/>
  <c r="T10" i="53"/>
  <c r="T22" i="53"/>
  <c r="O26" i="53"/>
  <c r="F16" i="44"/>
  <c r="T12" i="42"/>
  <c r="L58" i="42"/>
  <c r="L61" i="42"/>
  <c r="L70" i="42" s="1"/>
  <c r="F23" i="58"/>
  <c r="S58" i="42"/>
  <c r="S36" i="2"/>
  <c r="J14" i="42"/>
  <c r="J43" i="42"/>
  <c r="J31" i="42"/>
  <c r="J33" i="42"/>
  <c r="G80" i="4"/>
  <c r="J58" i="42"/>
  <c r="J68" i="42" a="1"/>
  <c r="J68" i="42"/>
  <c r="J75" i="42"/>
  <c r="M103" i="2"/>
  <c r="M107" i="2"/>
  <c r="J14" i="2"/>
  <c r="L14" i="2"/>
  <c r="N28" i="42"/>
  <c r="Q12" i="42"/>
  <c r="J103" i="42"/>
  <c r="Q46" i="42"/>
  <c r="J46" i="42"/>
  <c r="J10" i="42"/>
  <c r="J19" i="42"/>
  <c r="F22" i="42"/>
  <c r="J107" i="42"/>
  <c r="M36" i="2"/>
  <c r="M47" i="2"/>
  <c r="J10" i="2"/>
  <c r="J12" i="42"/>
  <c r="Q19" i="42"/>
  <c r="J21" i="42"/>
  <c r="J106" i="42"/>
  <c r="Q10" i="42"/>
  <c r="J40" i="42"/>
  <c r="Q31" i="42"/>
  <c r="L49" i="2"/>
  <c r="L60" i="2"/>
  <c r="Q21" i="42"/>
  <c r="J23" i="42"/>
  <c r="F25" i="58"/>
  <c r="J105" i="42"/>
  <c r="J13" i="44"/>
  <c r="Q43" i="42"/>
  <c r="Q37" i="42"/>
  <c r="J16" i="42"/>
  <c r="J36" i="2"/>
  <c r="J47" i="2"/>
  <c r="T36" i="2"/>
  <c r="J64" i="2"/>
  <c r="J73" i="2"/>
  <c r="Q33" i="42"/>
  <c r="J35" i="42"/>
  <c r="J37" i="42"/>
  <c r="Q75" i="42"/>
  <c r="Q14" i="42"/>
  <c r="J24" i="2"/>
  <c r="E16" i="42"/>
  <c r="E14" i="42"/>
  <c r="P103" i="42"/>
  <c r="M14" i="2"/>
  <c r="Q23" i="42"/>
  <c r="N58" i="42"/>
  <c r="N68" i="42" a="1"/>
  <c r="N68" i="42"/>
  <c r="F29" i="58"/>
  <c r="O58" i="42"/>
  <c r="M10" i="2"/>
  <c r="Q49" i="42"/>
  <c r="Q35" i="42"/>
  <c r="P64" i="2"/>
  <c r="Q49" i="2"/>
  <c r="Q60" i="2"/>
  <c r="R10" i="2"/>
  <c r="R12" i="2"/>
  <c r="M98" i="2"/>
  <c r="P14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/>
  <c r="L10" i="53"/>
  <c r="L22" i="53"/>
  <c r="T64" i="2"/>
  <c r="J103" i="2"/>
  <c r="J107" i="2"/>
  <c r="O10" i="2"/>
  <c r="K21" i="42"/>
  <c r="U103" i="2"/>
  <c r="U107" i="2"/>
  <c r="Q58" i="42"/>
  <c r="F27" i="58"/>
  <c r="K75" i="42"/>
  <c r="J15" i="44"/>
  <c r="K43" i="42"/>
  <c r="K37" i="42"/>
  <c r="P36" i="2"/>
  <c r="Q75" i="2"/>
  <c r="M64" i="2"/>
  <c r="M73" i="2"/>
  <c r="K23" i="42"/>
  <c r="J97" i="2"/>
  <c r="N38" i="53"/>
  <c r="N42" i="53"/>
  <c r="K35" i="42"/>
  <c r="U75" i="2"/>
  <c r="K58" i="42"/>
  <c r="R58" i="42"/>
  <c r="T103" i="42"/>
  <c r="Q36" i="2"/>
  <c r="Q64" i="2"/>
  <c r="R28" i="42"/>
  <c r="F15" i="58"/>
  <c r="K13" i="44"/>
  <c r="S26" i="53"/>
  <c r="R35" i="42"/>
  <c r="T58" i="42"/>
  <c r="T71" i="42" a="1"/>
  <c r="T71" i="42" s="1"/>
  <c r="F22" i="58"/>
  <c r="K14" i="44"/>
  <c r="K46" i="42"/>
  <c r="Q103" i="2"/>
  <c r="Q107" i="2"/>
  <c r="S38" i="53"/>
  <c r="O75" i="2"/>
  <c r="K33" i="42"/>
  <c r="L26" i="53"/>
  <c r="L34" i="53"/>
  <c r="K14" i="42"/>
  <c r="K18" i="44"/>
  <c r="K10" i="42"/>
  <c r="Q24" i="2"/>
  <c r="Q10" i="2"/>
  <c r="Q12" i="2"/>
  <c r="Q14" i="2"/>
  <c r="P38" i="53"/>
  <c r="P10" i="53"/>
  <c r="P26" i="53"/>
  <c r="N94" i="2"/>
  <c r="N64" i="2"/>
  <c r="N73" i="2"/>
  <c r="N24" i="2"/>
  <c r="N103" i="2"/>
  <c r="N107" i="2"/>
  <c r="N75" i="2"/>
  <c r="N14" i="2"/>
  <c r="N10" i="2"/>
  <c r="N49" i="2"/>
  <c r="N60" i="2"/>
  <c r="N36" i="2"/>
  <c r="N47" i="2"/>
  <c r="K26" i="53"/>
  <c r="K34" i="53"/>
  <c r="K10" i="53"/>
  <c r="K22" i="53"/>
  <c r="K38" i="53"/>
  <c r="K42" i="53"/>
  <c r="U99" i="2"/>
  <c r="U96" i="2"/>
  <c r="U98" i="2"/>
  <c r="P68" i="42" a="1"/>
  <c r="P68" i="42"/>
  <c r="S1" i="54"/>
  <c r="G10" i="16"/>
  <c r="R94" i="2"/>
  <c r="R64" i="2"/>
  <c r="R24" i="2"/>
  <c r="R103" i="2"/>
  <c r="R107" i="2"/>
  <c r="R75" i="2"/>
  <c r="R14" i="2"/>
  <c r="R36" i="2"/>
  <c r="K10" i="2"/>
  <c r="K14" i="2"/>
  <c r="K24" i="2"/>
  <c r="K64" i="2"/>
  <c r="K73" i="2"/>
  <c r="K103" i="2"/>
  <c r="K107" i="2"/>
  <c r="K36" i="2"/>
  <c r="K47" i="2"/>
  <c r="K75" i="2"/>
  <c r="K49" i="2"/>
  <c r="K60" i="2"/>
  <c r="K94" i="2"/>
  <c r="M103" i="42"/>
  <c r="M40" i="42"/>
  <c r="M75" i="42"/>
  <c r="M16" i="42"/>
  <c r="M23" i="42"/>
  <c r="M46" i="42"/>
  <c r="M21" i="42"/>
  <c r="M37" i="42"/>
  <c r="M58" i="42"/>
  <c r="M19" i="42"/>
  <c r="M10" i="42"/>
  <c r="M49" i="42"/>
  <c r="M97" i="2"/>
  <c r="M99" i="2"/>
  <c r="J99" i="2"/>
  <c r="J98" i="2"/>
  <c r="S103" i="2"/>
  <c r="S107" i="2"/>
  <c r="O49" i="2"/>
  <c r="O60" i="2"/>
  <c r="S75" i="2"/>
  <c r="O94" i="2"/>
  <c r="S94" i="2"/>
  <c r="U36" i="2"/>
  <c r="U47" i="2"/>
  <c r="T26" i="53"/>
  <c r="T34" i="53"/>
  <c r="J14" i="44"/>
  <c r="O103" i="2"/>
  <c r="O107" i="2"/>
  <c r="L10" i="2"/>
  <c r="M28" i="42"/>
  <c r="Q28" i="42"/>
  <c r="L94" i="2"/>
  <c r="P94" i="2"/>
  <c r="T94" i="2"/>
  <c r="O24" i="2"/>
  <c r="S14" i="2"/>
  <c r="U64" i="2"/>
  <c r="U73" i="2"/>
  <c r="Q10" i="53"/>
  <c r="T103" i="2"/>
  <c r="T107" i="2"/>
  <c r="P24" i="2"/>
  <c r="T10" i="2"/>
  <c r="T12" i="2"/>
  <c r="L75" i="2"/>
  <c r="O14" i="2"/>
  <c r="K16" i="44"/>
  <c r="J18" i="44"/>
  <c r="O36" i="2"/>
  <c r="O47" i="2"/>
  <c r="Q26" i="53"/>
  <c r="P103" i="2"/>
  <c r="P107" i="2"/>
  <c r="L24" i="2"/>
  <c r="T14" i="2"/>
  <c r="L64" i="2"/>
  <c r="L73" i="2"/>
  <c r="U49" i="2"/>
  <c r="U60" i="2"/>
  <c r="S49" i="2"/>
  <c r="T49" i="2"/>
  <c r="W16" i="53"/>
  <c r="L68" i="42" a="1"/>
  <c r="L68" i="42"/>
  <c r="J22" i="53"/>
  <c r="W12" i="53"/>
  <c r="W14" i="53"/>
  <c r="W31" i="53"/>
  <c r="J28" i="42"/>
  <c r="T20" i="42"/>
  <c r="S68" i="42" a="1"/>
  <c r="S68" i="42"/>
  <c r="J62" i="42" a="1"/>
  <c r="J62" i="42"/>
  <c r="T13" i="42"/>
  <c r="J61" i="42"/>
  <c r="J70" i="42" s="1"/>
  <c r="J65" i="42" a="1"/>
  <c r="J65" i="42"/>
  <c r="J71" i="42" a="1"/>
  <c r="J71" i="42"/>
  <c r="L62" i="42" a="1"/>
  <c r="L62" i="42"/>
  <c r="L65" i="42" a="1"/>
  <c r="L65" i="42"/>
  <c r="L71" i="42" a="1"/>
  <c r="L71" i="42"/>
  <c r="T62" i="42" a="1"/>
  <c r="T62" i="42"/>
  <c r="T68" i="42" a="1"/>
  <c r="T68" i="42"/>
  <c r="O68" i="42" a="1"/>
  <c r="O68" i="42"/>
  <c r="Q68" i="42" a="1"/>
  <c r="Q68" i="42"/>
  <c r="N65" i="42" a="1"/>
  <c r="N65" i="42"/>
  <c r="T61" i="42"/>
  <c r="T70" i="42" s="1"/>
  <c r="L28" i="42"/>
  <c r="T65" i="42" a="1"/>
  <c r="T65" i="42" s="1"/>
  <c r="F23" i="42"/>
  <c r="F21" i="42"/>
  <c r="R68" i="42" a="1"/>
  <c r="R68" i="42"/>
  <c r="P28" i="42"/>
  <c r="S28" i="42"/>
  <c r="K28" i="42"/>
  <c r="K62" i="42" a="1"/>
  <c r="K62" i="42"/>
  <c r="K61" i="42"/>
  <c r="K70" i="42" s="1"/>
  <c r="K71" i="42" a="1"/>
  <c r="K71" i="42"/>
  <c r="K65" i="42" a="1"/>
  <c r="K65" i="42"/>
  <c r="K68" i="42" a="1"/>
  <c r="K68" i="42"/>
  <c r="F16" i="42"/>
  <c r="F14" i="42"/>
  <c r="L96" i="2"/>
  <c r="L98" i="2"/>
  <c r="L99" i="2"/>
  <c r="L97" i="2"/>
  <c r="O28" i="42"/>
  <c r="K98" i="2"/>
  <c r="K97" i="2"/>
  <c r="K99" i="2"/>
  <c r="C16" i="2" a="1"/>
  <c r="C26" i="2" a="1"/>
  <c r="N97" i="2"/>
  <c r="N98" i="2"/>
  <c r="N99" i="2"/>
  <c r="N96" i="2"/>
  <c r="O99" i="2"/>
  <c r="O97" i="2"/>
  <c r="O98" i="2"/>
  <c r="O96" i="2"/>
  <c r="N61" i="42"/>
  <c r="M61" i="42"/>
  <c r="M70" i="42" s="1"/>
  <c r="M62" i="42" a="1"/>
  <c r="M62" i="42"/>
  <c r="M65" i="42" a="1"/>
  <c r="M65" i="42"/>
  <c r="M68" i="42" a="1"/>
  <c r="M68" i="42"/>
  <c r="X107" i="2"/>
  <c r="M71" i="42" a="1"/>
  <c r="M71" i="42"/>
  <c r="N62" i="42" a="1"/>
  <c r="N62" i="42"/>
  <c r="C31" i="2"/>
  <c r="C27" i="2"/>
  <c r="C26" i="2"/>
  <c r="C29" i="2"/>
  <c r="C32" i="2"/>
  <c r="C30" i="2"/>
  <c r="C28" i="2"/>
  <c r="N71" i="42" a="1"/>
  <c r="N71" i="42"/>
  <c r="C16" i="2"/>
  <c r="C17" i="2"/>
  <c r="C18" i="2"/>
  <c r="C21" i="2"/>
  <c r="C19" i="2"/>
  <c r="C20" i="2"/>
  <c r="C22" i="2"/>
  <c r="Q27" i="2"/>
  <c r="T27" i="2"/>
  <c r="E27" i="2"/>
  <c r="D27" i="2"/>
  <c r="S27" i="2"/>
  <c r="P27" i="2"/>
  <c r="R27" i="2"/>
  <c r="O21" i="2"/>
  <c r="J93" i="42" s="1"/>
  <c r="E21" i="2"/>
  <c r="D21" i="2"/>
  <c r="P21" i="2"/>
  <c r="E31" i="2"/>
  <c r="T31" i="2"/>
  <c r="S20" i="42" s="1"/>
  <c r="S13" i="42"/>
  <c r="S26" i="42" s="1"/>
  <c r="D31" i="2"/>
  <c r="Q31" i="2"/>
  <c r="P20" i="42" s="1"/>
  <c r="S31" i="2"/>
  <c r="R20" i="42" s="1"/>
  <c r="R31" i="2"/>
  <c r="Q13" i="42" s="1"/>
  <c r="Q26" i="42" s="1"/>
  <c r="Q20" i="42"/>
  <c r="P31" i="2"/>
  <c r="O13" i="42"/>
  <c r="O26" i="42" s="1"/>
  <c r="D18" i="2"/>
  <c r="L18" i="2"/>
  <c r="P18" i="2"/>
  <c r="E18" i="2"/>
  <c r="P17" i="2"/>
  <c r="K17" i="2"/>
  <c r="E17" i="2"/>
  <c r="D17" i="2"/>
  <c r="Q28" i="2"/>
  <c r="T28" i="2"/>
  <c r="S28" i="2"/>
  <c r="E28" i="2"/>
  <c r="D28" i="2"/>
  <c r="P28" i="2"/>
  <c r="R28" i="2"/>
  <c r="J16" i="2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D22" i="2"/>
  <c r="O22" i="2"/>
  <c r="E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N18" i="44"/>
  <c r="M17" i="44"/>
  <c r="M15" i="44"/>
  <c r="M18" i="44"/>
  <c r="N15" i="44"/>
  <c r="N16" i="44"/>
  <c r="N14" i="44"/>
  <c r="N17" i="44"/>
  <c r="M14" i="44"/>
  <c r="M16" i="44"/>
  <c r="L31" i="42"/>
  <c r="L35" i="42"/>
  <c r="L33" i="42"/>
  <c r="M106" i="42"/>
  <c r="M107" i="42"/>
  <c r="M105" i="42"/>
  <c r="M13" i="44"/>
  <c r="M31" i="42"/>
  <c r="M35" i="42"/>
  <c r="M12" i="42"/>
  <c r="M33" i="42"/>
  <c r="N37" i="42"/>
  <c r="N40" i="42"/>
  <c r="N105" i="42"/>
  <c r="N13" i="44"/>
  <c r="N106" i="42"/>
  <c r="N107" i="42"/>
  <c r="W15" i="53"/>
  <c r="W17" i="53"/>
  <c r="Q22" i="53"/>
  <c r="P22" i="53"/>
  <c r="S22" i="53"/>
  <c r="R22" i="53"/>
  <c r="W13" i="53"/>
  <c r="O22" i="53"/>
  <c r="W22" i="53"/>
  <c r="I26" i="55"/>
  <c r="T50" i="42"/>
  <c r="I25" i="55"/>
  <c r="I84" i="55"/>
  <c r="V84" i="55" s="1"/>
  <c r="I44" i="55"/>
  <c r="V44" i="55"/>
  <c r="I63" i="55"/>
  <c r="V63" i="55"/>
  <c r="V80" i="55"/>
  <c r="I82" i="55"/>
  <c r="N12" i="2" s="1"/>
  <c r="O20" i="42"/>
  <c r="I78" i="55"/>
  <c r="M12" i="2" s="1"/>
  <c r="I36" i="55"/>
  <c r="V36" i="55" s="1"/>
  <c r="L80" i="42"/>
  <c r="I50" i="55"/>
  <c r="V50" i="55" s="1"/>
  <c r="K44" i="42"/>
  <c r="L83" i="42"/>
  <c r="L79" i="42"/>
  <c r="S77" i="42"/>
  <c r="N44" i="42"/>
  <c r="P13" i="42"/>
  <c r="P26" i="42" s="1"/>
  <c r="R38" i="42"/>
  <c r="K79" i="42"/>
  <c r="C98" i="2"/>
  <c r="C97" i="2"/>
  <c r="C96" i="2"/>
  <c r="R60" i="2"/>
  <c r="T58" i="2"/>
  <c r="T60" i="2" s="1"/>
  <c r="S58" i="2"/>
  <c r="V78" i="55"/>
  <c r="S60" i="2"/>
  <c r="W29" i="53"/>
  <c r="Q95" i="42"/>
  <c r="Q16" i="44" s="1"/>
  <c r="W30" i="53"/>
  <c r="U77" i="2"/>
  <c r="S64" i="42" l="1"/>
  <c r="Q64" i="42"/>
  <c r="X60" i="2"/>
  <c r="O64" i="42"/>
  <c r="O65" i="42" s="1" a="1"/>
  <c r="O65" i="42" s="1"/>
  <c r="R47" i="2"/>
  <c r="H90" i="55"/>
  <c r="H87" i="55"/>
  <c r="R13" i="42"/>
  <c r="R26" i="42" s="1"/>
  <c r="H92" i="55"/>
  <c r="H89" i="55"/>
  <c r="Q84" i="42"/>
  <c r="T29" i="42"/>
  <c r="Q83" i="42"/>
  <c r="K50" i="42"/>
  <c r="P41" i="42"/>
  <c r="N80" i="42"/>
  <c r="I55" i="55"/>
  <c r="V55" i="55" s="1"/>
  <c r="I31" i="55"/>
  <c r="V31" i="55" s="1"/>
  <c r="M29" i="42"/>
  <c r="J47" i="42"/>
  <c r="O82" i="42"/>
  <c r="T94" i="42"/>
  <c r="S79" i="42"/>
  <c r="T83" i="42"/>
  <c r="J84" i="42"/>
  <c r="N93" i="42"/>
  <c r="M96" i="42"/>
  <c r="P77" i="42"/>
  <c r="L19" i="2"/>
  <c r="I79" i="55"/>
  <c r="V79" i="55" s="1"/>
  <c r="R95" i="42"/>
  <c r="R16" i="44" s="1"/>
  <c r="O81" i="42"/>
  <c r="N77" i="42"/>
  <c r="S84" i="42"/>
  <c r="Q80" i="42"/>
  <c r="I34" i="55"/>
  <c r="V34" i="55" s="1"/>
  <c r="I58" i="55"/>
  <c r="V58" i="55" s="1"/>
  <c r="M78" i="42"/>
  <c r="J41" i="42"/>
  <c r="O96" i="42"/>
  <c r="O17" i="44" s="1"/>
  <c r="L41" i="42"/>
  <c r="J83" i="42"/>
  <c r="I74" i="55"/>
  <c r="J80" i="42"/>
  <c r="I67" i="55"/>
  <c r="V67" i="55" s="1"/>
  <c r="T93" i="42"/>
  <c r="K81" i="42"/>
  <c r="L38" i="42"/>
  <c r="V82" i="55"/>
  <c r="Q97" i="42"/>
  <c r="Q18" i="44" s="1"/>
  <c r="M44" i="42"/>
  <c r="Q47" i="42"/>
  <c r="R82" i="42"/>
  <c r="S94" i="42"/>
  <c r="S15" i="44" s="1"/>
  <c r="N85" i="42"/>
  <c r="Q50" i="42"/>
  <c r="R94" i="42"/>
  <c r="R15" i="44" s="1"/>
  <c r="M80" i="42"/>
  <c r="S47" i="42"/>
  <c r="J50" i="42"/>
  <c r="S80" i="42"/>
  <c r="Q94" i="42"/>
  <c r="Q15" i="44" s="1"/>
  <c r="N29" i="42"/>
  <c r="R96" i="42"/>
  <c r="R17" i="44" s="1"/>
  <c r="K38" i="42"/>
  <c r="Q82" i="42"/>
  <c r="T44" i="42"/>
  <c r="Q77" i="42"/>
  <c r="I64" i="55"/>
  <c r="V64" i="55" s="1"/>
  <c r="O44" i="42"/>
  <c r="P82" i="42"/>
  <c r="I77" i="55"/>
  <c r="V77" i="55" s="1"/>
  <c r="I62" i="55"/>
  <c r="V62" i="55" s="1"/>
  <c r="P38" i="42"/>
  <c r="L81" i="42"/>
  <c r="P78" i="42"/>
  <c r="R80" i="42"/>
  <c r="Q85" i="42"/>
  <c r="J81" i="42"/>
  <c r="T82" i="42"/>
  <c r="J44" i="42"/>
  <c r="Q29" i="42"/>
  <c r="N97" i="42"/>
  <c r="L93" i="42"/>
  <c r="J38" i="42"/>
  <c r="M94" i="42"/>
  <c r="J82" i="42"/>
  <c r="P94" i="42"/>
  <c r="P15" i="44" s="1"/>
  <c r="R79" i="42"/>
  <c r="R29" i="42"/>
  <c r="R44" i="42"/>
  <c r="M84" i="42"/>
  <c r="J97" i="42"/>
  <c r="J29" i="42"/>
  <c r="T81" i="42"/>
  <c r="I61" i="55"/>
  <c r="V61" i="55" s="1"/>
  <c r="J95" i="42"/>
  <c r="S44" i="42"/>
  <c r="S41" i="42"/>
  <c r="K78" i="42"/>
  <c r="P81" i="42"/>
  <c r="J79" i="42"/>
  <c r="O78" i="42"/>
  <c r="R83" i="42"/>
  <c r="S85" i="42"/>
  <c r="P85" i="42"/>
  <c r="S82" i="42"/>
  <c r="Q44" i="42"/>
  <c r="N47" i="42"/>
  <c r="M85" i="42"/>
  <c r="O97" i="42"/>
  <c r="O18" i="44" s="1"/>
  <c r="I41" i="55"/>
  <c r="V41" i="55" s="1"/>
  <c r="S96" i="42"/>
  <c r="S17" i="44" s="1"/>
  <c r="N30" i="2"/>
  <c r="I46" i="55"/>
  <c r="V46" i="55" s="1"/>
  <c r="L85" i="42"/>
  <c r="K96" i="42"/>
  <c r="K85" i="42"/>
  <c r="J85" i="42"/>
  <c r="P47" i="42"/>
  <c r="O84" i="42"/>
  <c r="M82" i="42"/>
  <c r="K97" i="42"/>
  <c r="M93" i="42"/>
  <c r="J78" i="42"/>
  <c r="O95" i="42"/>
  <c r="O16" i="44" s="1"/>
  <c r="R50" i="42"/>
  <c r="O85" i="42"/>
  <c r="K95" i="42"/>
  <c r="Q96" i="42"/>
  <c r="Q17" i="44" s="1"/>
  <c r="O50" i="42"/>
  <c r="M47" i="42"/>
  <c r="K29" i="42"/>
  <c r="O77" i="42"/>
  <c r="K83" i="42"/>
  <c r="L50" i="42"/>
  <c r="P80" i="42"/>
  <c r="N96" i="42"/>
  <c r="N50" i="42"/>
  <c r="I53" i="55"/>
  <c r="V53" i="55" s="1"/>
  <c r="I57" i="55"/>
  <c r="V57" i="55" s="1"/>
  <c r="I33" i="55"/>
  <c r="V33" i="55" s="1"/>
  <c r="I29" i="55"/>
  <c r="I85" i="55"/>
  <c r="V85" i="55" s="1"/>
  <c r="I86" i="55"/>
  <c r="I65" i="55"/>
  <c r="V65" i="55" s="1"/>
  <c r="I39" i="55"/>
  <c r="V39" i="55" s="1"/>
  <c r="I43" i="55"/>
  <c r="V43" i="55" s="1"/>
  <c r="V70" i="55"/>
  <c r="I72" i="55"/>
  <c r="V72" i="55" s="1"/>
  <c r="I27" i="55"/>
  <c r="N19" i="2"/>
  <c r="T47" i="42"/>
  <c r="K84" i="42"/>
  <c r="J77" i="42"/>
  <c r="P44" i="42"/>
  <c r="N78" i="42"/>
  <c r="T78" i="42"/>
  <c r="L78" i="42"/>
  <c r="O47" i="42"/>
  <c r="L97" i="42"/>
  <c r="K80" i="42"/>
  <c r="R78" i="42"/>
  <c r="T80" i="42"/>
  <c r="M83" i="42"/>
  <c r="R81" i="42"/>
  <c r="I52" i="55"/>
  <c r="V52" i="55" s="1"/>
  <c r="I66" i="55"/>
  <c r="J12" i="2" s="1"/>
  <c r="O83" i="42"/>
  <c r="O80" i="42"/>
  <c r="P95" i="42"/>
  <c r="P16" i="44" s="1"/>
  <c r="O94" i="42"/>
  <c r="O15" i="44" s="1"/>
  <c r="M20" i="2"/>
  <c r="I83" i="55"/>
  <c r="V83" i="55" s="1"/>
  <c r="T38" i="42"/>
  <c r="K93" i="42"/>
  <c r="M79" i="42"/>
  <c r="T84" i="42"/>
  <c r="N94" i="42"/>
  <c r="K47" i="42"/>
  <c r="O38" i="42"/>
  <c r="Q38" i="42"/>
  <c r="R41" i="42"/>
  <c r="N82" i="42"/>
  <c r="P96" i="42"/>
  <c r="P17" i="44" s="1"/>
  <c r="L95" i="42"/>
  <c r="L82" i="42"/>
  <c r="S81" i="42"/>
  <c r="I32" i="55"/>
  <c r="V32" i="55" s="1"/>
  <c r="K41" i="42"/>
  <c r="N81" i="42"/>
  <c r="N84" i="42"/>
  <c r="M18" i="2"/>
  <c r="M38" i="42"/>
  <c r="L77" i="42"/>
  <c r="P97" i="42"/>
  <c r="P18" i="44" s="1"/>
  <c r="M95" i="42"/>
  <c r="O79" i="42"/>
  <c r="T41" i="42"/>
  <c r="S78" i="42"/>
  <c r="O29" i="42"/>
  <c r="P50" i="42"/>
  <c r="S50" i="42"/>
  <c r="P79" i="42"/>
  <c r="P83" i="42"/>
  <c r="Q79" i="42"/>
  <c r="Q78" i="42"/>
  <c r="S29" i="42"/>
  <c r="J94" i="42"/>
  <c r="T96" i="42"/>
  <c r="R84" i="42"/>
  <c r="P84" i="42"/>
  <c r="M29" i="2"/>
  <c r="L96" i="42"/>
  <c r="K82" i="42"/>
  <c r="L94" i="42"/>
  <c r="J96" i="42"/>
  <c r="O41" i="42"/>
  <c r="T79" i="42"/>
  <c r="N79" i="42"/>
  <c r="M41" i="42"/>
  <c r="M81" i="42"/>
  <c r="S38" i="42"/>
  <c r="M77" i="42"/>
  <c r="R47" i="42"/>
  <c r="S83" i="42"/>
  <c r="R77" i="42"/>
  <c r="T95" i="42"/>
  <c r="I51" i="55"/>
  <c r="V51" i="55" s="1"/>
  <c r="N95" i="42"/>
  <c r="Q41" i="42"/>
  <c r="N41" i="42"/>
  <c r="S95" i="42"/>
  <c r="S16" i="44" s="1"/>
  <c r="T97" i="42"/>
  <c r="Q81" i="42"/>
  <c r="R97" i="42"/>
  <c r="R18" i="44" s="1"/>
  <c r="R85" i="42"/>
  <c r="T85" i="42"/>
  <c r="T77" i="42"/>
  <c r="P29" i="42"/>
  <c r="M50" i="42"/>
  <c r="N38" i="42"/>
  <c r="K94" i="42"/>
  <c r="L84" i="42"/>
  <c r="L44" i="42"/>
  <c r="L47" i="42"/>
  <c r="N83" i="42"/>
  <c r="M97" i="42"/>
  <c r="K77" i="42"/>
  <c r="L29" i="42"/>
  <c r="S97" i="42"/>
  <c r="S18" i="44" s="1"/>
  <c r="J47" i="58"/>
  <c r="K47" i="58"/>
  <c r="V21" i="58"/>
  <c r="Q77" i="2"/>
  <c r="K29" i="58"/>
  <c r="M29" i="58"/>
  <c r="T47" i="2"/>
  <c r="L29" i="58"/>
  <c r="L21" i="42" s="1"/>
  <c r="L47" i="58"/>
  <c r="L12" i="42" s="1"/>
  <c r="R64" i="42"/>
  <c r="P64" i="42"/>
  <c r="V19" i="58"/>
  <c r="J29" i="58"/>
  <c r="N29" i="58"/>
  <c r="N23" i="42" s="1"/>
  <c r="P47" i="2"/>
  <c r="V13" i="58"/>
  <c r="R77" i="2"/>
  <c r="V22" i="58"/>
  <c r="V20" i="58"/>
  <c r="S77" i="2"/>
  <c r="T77" i="2"/>
  <c r="N70" i="42"/>
  <c r="Q65" i="42" l="1" a="1"/>
  <c r="Q65" i="42" s="1"/>
  <c r="X47" i="2"/>
  <c r="S52" i="42"/>
  <c r="S54" i="42" s="1"/>
  <c r="O87" i="42"/>
  <c r="H96" i="55"/>
  <c r="K52" i="42"/>
  <c r="K54" i="42" s="1"/>
  <c r="J99" i="42"/>
  <c r="H94" i="55"/>
  <c r="H93" i="55" s="1"/>
  <c r="H91" i="55"/>
  <c r="L12" i="2"/>
  <c r="V74" i="55"/>
  <c r="O52" i="42"/>
  <c r="O54" i="42" s="1"/>
  <c r="S87" i="42"/>
  <c r="J52" i="42"/>
  <c r="J54" i="42" s="1"/>
  <c r="K99" i="42"/>
  <c r="M52" i="42"/>
  <c r="M54" i="42" s="1"/>
  <c r="M87" i="42"/>
  <c r="I88" i="55"/>
  <c r="J87" i="42"/>
  <c r="Q87" i="42"/>
  <c r="Q52" i="42"/>
  <c r="Q54" i="42" s="1"/>
  <c r="N87" i="42"/>
  <c r="P87" i="42"/>
  <c r="P52" i="42"/>
  <c r="P54" i="42" s="1"/>
  <c r="R87" i="42"/>
  <c r="N99" i="42"/>
  <c r="L52" i="42"/>
  <c r="L54" i="42" s="1"/>
  <c r="T99" i="42"/>
  <c r="L99" i="42"/>
  <c r="M99" i="42"/>
  <c r="J26" i="2"/>
  <c r="V66" i="55"/>
  <c r="N29" i="2"/>
  <c r="T87" i="42"/>
  <c r="I87" i="55"/>
  <c r="M28" i="2"/>
  <c r="N18" i="2"/>
  <c r="K27" i="2"/>
  <c r="K16" i="2"/>
  <c r="J17" i="2"/>
  <c r="J27" i="2" s="1"/>
  <c r="K87" i="42"/>
  <c r="R52" i="42"/>
  <c r="R54" i="42" s="1"/>
  <c r="V86" i="55"/>
  <c r="O12" i="2"/>
  <c r="O19" i="2" s="1"/>
  <c r="O29" i="2" s="1"/>
  <c r="L20" i="2"/>
  <c r="M30" i="2"/>
  <c r="L87" i="42"/>
  <c r="I89" i="55"/>
  <c r="I90" i="55"/>
  <c r="P65" i="42" a="1"/>
  <c r="P65" i="42" s="1"/>
  <c r="R65" i="42" a="1"/>
  <c r="R65" i="42" s="1"/>
  <c r="S65" i="42" a="1"/>
  <c r="S65" i="42" s="1"/>
  <c r="H95" i="55" l="1"/>
  <c r="H98" i="55"/>
  <c r="H99" i="55" s="1"/>
  <c r="H100" i="55"/>
  <c r="H97" i="55"/>
  <c r="V1" i="55"/>
  <c r="G11" i="16" s="1"/>
  <c r="I92" i="55"/>
  <c r="I91" i="55"/>
  <c r="L29" i="2"/>
  <c r="K19" i="2"/>
  <c r="L28" i="2"/>
  <c r="K18" i="2"/>
  <c r="L17" i="2"/>
  <c r="K26" i="2"/>
  <c r="L16" i="2"/>
  <c r="N28" i="2"/>
  <c r="O18" i="2"/>
  <c r="O28" i="2" s="1"/>
  <c r="K20" i="2"/>
  <c r="L30" i="2"/>
  <c r="N21" i="2"/>
  <c r="O31" i="2"/>
  <c r="O20" i="2"/>
  <c r="O30" i="2" s="1"/>
  <c r="I95" i="55"/>
  <c r="I94" i="55"/>
  <c r="I93" i="55"/>
  <c r="J19" i="2" l="1"/>
  <c r="J29" i="2" s="1"/>
  <c r="K29" i="2"/>
  <c r="M17" i="2"/>
  <c r="L27" i="2"/>
  <c r="K28" i="2"/>
  <c r="J18" i="2"/>
  <c r="J28" i="2" s="1"/>
  <c r="I96" i="55"/>
  <c r="I100" i="55"/>
  <c r="M21" i="2"/>
  <c r="N31" i="2"/>
  <c r="M16" i="2"/>
  <c r="L26" i="2"/>
  <c r="N20" i="42"/>
  <c r="N13" i="42"/>
  <c r="I98" i="55"/>
  <c r="I97" i="55"/>
  <c r="J20" i="2"/>
  <c r="J30" i="2" s="1"/>
  <c r="K30" i="2"/>
  <c r="N26" i="42" l="1"/>
  <c r="I99" i="55"/>
  <c r="M27" i="2"/>
  <c r="N17" i="2"/>
  <c r="L13" i="42"/>
  <c r="L21" i="2"/>
  <c r="M20" i="42"/>
  <c r="M13" i="42"/>
  <c r="N16" i="2"/>
  <c r="M26" i="2"/>
  <c r="M26" i="42" l="1"/>
  <c r="L26" i="42"/>
  <c r="N27" i="2"/>
  <c r="O17" i="2"/>
  <c r="O27" i="2" s="1"/>
  <c r="K21" i="2"/>
  <c r="L31" i="2"/>
  <c r="O16" i="2"/>
  <c r="N26" i="2"/>
  <c r="K20" i="42" l="1"/>
  <c r="K13" i="42"/>
  <c r="K26" i="42" s="1"/>
  <c r="J21" i="2"/>
  <c r="J31" i="2" s="1"/>
  <c r="Q17" i="42"/>
  <c r="P24" i="42"/>
  <c r="Q15" i="42"/>
  <c r="T15" i="42"/>
  <c r="R17" i="42"/>
  <c r="S15" i="42"/>
  <c r="Q24" i="42"/>
  <c r="P15" i="42"/>
  <c r="T24" i="42"/>
  <c r="O17" i="42"/>
  <c r="O15" i="42"/>
  <c r="S24" i="42"/>
  <c r="O22" i="42"/>
  <c r="T22" i="42"/>
  <c r="T17" i="42"/>
  <c r="S17" i="42"/>
  <c r="R22" i="42"/>
  <c r="O24" i="42"/>
  <c r="J22" i="42"/>
  <c r="R24" i="42"/>
  <c r="R15" i="42"/>
  <c r="P17" i="42"/>
  <c r="P22" i="42"/>
  <c r="Q22" i="42"/>
  <c r="O26" i="2"/>
  <c r="S22" i="42"/>
  <c r="N22" i="42"/>
  <c r="K22" i="42"/>
  <c r="J15" i="42"/>
  <c r="M15" i="42"/>
  <c r="L15" i="42"/>
  <c r="M24" i="42"/>
  <c r="L17" i="42"/>
  <c r="L24" i="42"/>
  <c r="J24" i="42"/>
  <c r="K15" i="42"/>
  <c r="J17" i="42"/>
  <c r="N17" i="42"/>
  <c r="M22" i="42"/>
  <c r="M17" i="42"/>
  <c r="N15" i="42"/>
  <c r="K17" i="42"/>
  <c r="K24" i="42"/>
  <c r="L22" i="42"/>
  <c r="N24" i="42"/>
  <c r="N31" i="42" l="1"/>
  <c r="J13" i="42"/>
  <c r="J26" i="42" s="1"/>
  <c r="J20" i="42"/>
  <c r="N33" i="42" l="1"/>
  <c r="N52" i="42" l="1"/>
  <c r="O42" i="53" l="1"/>
  <c r="P42" i="53" l="1"/>
  <c r="Q42" i="53" l="1"/>
  <c r="R42" i="53"/>
  <c r="S42" i="53" l="1"/>
  <c r="W42" i="53" s="1"/>
  <c r="M57" i="58" l="1"/>
  <c r="M47" i="58"/>
  <c r="J57" i="58" l="1"/>
  <c r="L57" i="58"/>
  <c r="L19" i="42" s="1"/>
  <c r="L20" i="42" s="1"/>
  <c r="N35" i="42" s="1"/>
  <c r="K57" i="58"/>
  <c r="N54" i="42" l="1"/>
  <c r="V41" i="58" l="1"/>
  <c r="V52" i="58"/>
  <c r="N47" i="58" l="1"/>
  <c r="V37" i="58"/>
  <c r="S1" i="58" s="1"/>
  <c r="G12" i="16" s="1"/>
  <c r="N57" i="58"/>
  <c r="V51" i="58"/>
  <c r="O73" i="2" l="1"/>
  <c r="Q73" i="2" l="1"/>
  <c r="R73" i="2" l="1"/>
  <c r="P73" i="2"/>
  <c r="Q78" i="2"/>
  <c r="P78" i="2"/>
  <c r="R78" i="2"/>
  <c r="S78" i="2"/>
  <c r="S99" i="2" l="1"/>
  <c r="S98" i="2"/>
  <c r="S97" i="2"/>
  <c r="S96" i="2"/>
  <c r="R61" i="42" s="1"/>
  <c r="P98" i="2"/>
  <c r="P96" i="2"/>
  <c r="O61" i="42" s="1"/>
  <c r="P97" i="2"/>
  <c r="P99" i="2"/>
  <c r="R97" i="2"/>
  <c r="R98" i="2"/>
  <c r="R99" i="2"/>
  <c r="R96" i="2"/>
  <c r="Q61" i="42" s="1"/>
  <c r="S73" i="2"/>
  <c r="Q96" i="2"/>
  <c r="P61" i="42" s="1"/>
  <c r="Q97" i="2"/>
  <c r="Q98" i="2"/>
  <c r="Q99" i="2"/>
  <c r="P70" i="42" l="1"/>
  <c r="Q70" i="42"/>
  <c r="R70" i="42"/>
  <c r="O70" i="42"/>
  <c r="P62" i="42" a="1"/>
  <c r="P62" i="42" s="1"/>
  <c r="O62" i="42" a="1"/>
  <c r="O62" i="42" s="1"/>
  <c r="Q62" i="42" a="1"/>
  <c r="Q62" i="42" s="1"/>
  <c r="R62" i="42" a="1"/>
  <c r="R62" i="42" s="1"/>
  <c r="T73" i="2"/>
  <c r="X73" i="2" s="1"/>
  <c r="T1" i="2" s="1"/>
  <c r="G13" i="16" s="1"/>
  <c r="U78" i="2"/>
  <c r="T78" i="2"/>
  <c r="T98" i="2" l="1"/>
  <c r="T97" i="2"/>
  <c r="T99" i="2"/>
  <c r="T96" i="2"/>
  <c r="S61" i="42" s="1"/>
  <c r="O71" i="42" a="1"/>
  <c r="O71" i="42" s="1"/>
  <c r="P71" i="42" a="1"/>
  <c r="P71" i="42" s="1"/>
  <c r="Q71" i="42" a="1"/>
  <c r="Q71" i="42" s="1"/>
  <c r="R71" i="42" a="1"/>
  <c r="R71" i="42" s="1"/>
  <c r="S70" i="42" l="1"/>
  <c r="S71" i="42" s="1" a="1"/>
  <c r="S71" i="42" s="1"/>
  <c r="S62" i="42" a="1"/>
  <c r="S62" i="42" s="1"/>
  <c r="Q105" i="42"/>
  <c r="P105" i="42"/>
  <c r="O105" i="42"/>
  <c r="R105" i="42"/>
  <c r="P13" i="44" l="1"/>
  <c r="R13" i="44"/>
  <c r="O13" i="44"/>
  <c r="Q13" i="44"/>
  <c r="S105" i="42"/>
  <c r="S13" i="44" l="1"/>
  <c r="R93" i="42" l="1"/>
  <c r="R34" i="53"/>
  <c r="Q34" i="53"/>
  <c r="Q93" i="42"/>
  <c r="S34" i="53" l="1"/>
  <c r="P34" i="53"/>
  <c r="S93" i="42"/>
  <c r="P93" i="42"/>
  <c r="S14" i="44"/>
  <c r="S99" i="42"/>
  <c r="S106" i="42" s="1"/>
  <c r="S107" i="42" s="1"/>
  <c r="Q99" i="42"/>
  <c r="Q106" i="42" s="1"/>
  <c r="Q107" i="42" s="1"/>
  <c r="Q14" i="44"/>
  <c r="P14" i="44"/>
  <c r="P99" i="42"/>
  <c r="P106" i="42" s="1"/>
  <c r="P107" i="42" s="1"/>
  <c r="O93" i="42"/>
  <c r="O34" i="53"/>
  <c r="W34" i="53" s="1"/>
  <c r="W28" i="53"/>
  <c r="R14" i="44"/>
  <c r="R99" i="42"/>
  <c r="R106" i="42" s="1"/>
  <c r="R107" i="42" s="1"/>
  <c r="O99" i="42" l="1"/>
  <c r="O106" i="42" s="1"/>
  <c r="O107" i="42" s="1"/>
  <c r="O14" i="44"/>
  <c r="S1" i="53"/>
  <c r="G14" i="16" s="1"/>
  <c r="S1" i="16" s="1"/>
  <c r="W1" i="42" l="1"/>
  <c r="V1" i="54"/>
  <c r="Y1" i="55"/>
  <c r="W1" i="44"/>
  <c r="V1" i="4"/>
  <c r="V1" i="53"/>
  <c r="X1" i="2"/>
  <c r="V1" i="5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<sst xmlns="http://schemas.openxmlformats.org/spreadsheetml/2006/main" count="725" uniqueCount="215">
  <si>
    <t>AER opex model v2.3</t>
  </si>
  <si>
    <t>Index</t>
  </si>
  <si>
    <t>Model index</t>
  </si>
  <si>
    <t>Sheet Name</t>
  </si>
  <si>
    <t>Sheet Description</t>
  </si>
  <si>
    <t>Input | General</t>
  </si>
  <si>
    <t>Inputs NSP name, regulatory years for the current and forecast regulatory control periods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</si>
  <si>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</si>
  <si>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</si>
  <si>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</si>
  <si>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</si>
  <si>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Rate of change</t>
  </si>
  <si>
    <t>Inputs the inputs required to forecast input price growth, output growth and productivity growth.</t>
  </si>
  <si>
    <t>Input | Step changes</t>
  </si>
  <si>
    <t>Inputs step changes, category specific forecasts and debt raising costs.</t>
  </si>
  <si>
    <t>Calc | Opex Forecast</t>
  </si>
  <si>
    <t>Calculates the opex forecast.</t>
  </si>
  <si>
    <t>Output | Models</t>
  </si>
  <si>
    <t>Outputs the forecasts needed as a post tax revenue model inputs.</t>
  </si>
  <si>
    <t>Lookup | Tables</t>
  </si>
  <si>
    <t>Includes the lookup tables used within this opex model.</t>
  </si>
  <si>
    <t>Check | List</t>
  </si>
  <si>
    <t>Shows a summary of the checks from each sheet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</si>
  <si>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</si>
  <si>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</si>
  <si>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</si>
  <si>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</si>
  <si>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</si>
  <si>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</si>
  <si>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</si>
  <si>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</si>
  <si>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</si>
  <si>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</si>
  <si>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</si>
  <si>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</si>
  <si>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</si>
  <si>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</si>
  <si>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Evoenergy gas network</t>
  </si>
  <si>
    <t>Decision stage</t>
  </si>
  <si>
    <t>AER</t>
  </si>
  <si>
    <t>Proposal</t>
  </si>
  <si>
    <t>Year ending</t>
  </si>
  <si>
    <t>Current regulatory control period, first year</t>
  </si>
  <si>
    <t>Forecast base year</t>
  </si>
  <si>
    <t>Current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</si>
  <si>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</si>
  <si>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</si>
  <si>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</si>
  <si>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</si>
  <si>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</si>
  <si>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</si>
  <si>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Forecast annual CPI growth</t>
  </si>
  <si>
    <t>Forecast and actual index value</t>
  </si>
  <si>
    <t>ABS</t>
  </si>
  <si>
    <t>Calculated</t>
  </si>
  <si>
    <t>RBA</t>
  </si>
  <si>
    <t>Unit</t>
  </si>
  <si>
    <t>index</t>
  </si>
  <si>
    <t>Percent</t>
  </si>
  <si>
    <t/>
  </si>
  <si>
    <t>Outlook | Statement on Monetary Policy – February 2025 | RBA</t>
  </si>
  <si>
    <t>Estimate: midpoint target inflation band</t>
  </si>
  <si>
    <t>Basis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</si>
  <si>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</si>
  <si>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</si>
  <si>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</si>
  <si>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</si>
  <si>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</si>
  <si>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</si>
  <si>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- Oxford Economics</t>
  </si>
  <si>
    <t>external</t>
  </si>
  <si>
    <t>CPI</t>
  </si>
  <si>
    <t>Check</t>
  </si>
  <si>
    <t>Ok/Check</t>
  </si>
  <si>
    <t>n/a</t>
  </si>
  <si>
    <t>Weights</t>
  </si>
  <si>
    <t>Labour</t>
  </si>
  <si>
    <t>ACIL Allen 2022</t>
  </si>
  <si>
    <t>Non-labour</t>
  </si>
  <si>
    <t>Input | Forecast output growth</t>
  </si>
  <si>
    <t>Output measure</t>
  </si>
  <si>
    <t>Customer numbers (#) (CIE forecast)</t>
  </si>
  <si>
    <t>number</t>
  </si>
  <si>
    <t>Mains Length (km)</t>
  </si>
  <si>
    <t>Growth rate</t>
  </si>
  <si>
    <t>Output weights</t>
  </si>
  <si>
    <t>Chosen</t>
  </si>
  <si>
    <t>Customer numbers</t>
  </si>
  <si>
    <t>Evoenergy</t>
  </si>
  <si>
    <t>Mains length</t>
  </si>
  <si>
    <t>Forecast output growth</t>
  </si>
  <si>
    <t>Input | Forecast productivity</t>
  </si>
  <si>
    <t>Partial factor productivity</t>
  </si>
  <si>
    <t>Input | Approved forecast opex</t>
  </si>
  <si>
    <t>Cost category</t>
  </si>
  <si>
    <t>Total opex</t>
  </si>
  <si>
    <t>Approved category specific forecasts</t>
  </si>
  <si>
    <t>UNFT</t>
  </si>
  <si>
    <t>EIL</t>
  </si>
  <si>
    <t>UAG</t>
  </si>
  <si>
    <t>Debt raising costs</t>
  </si>
  <si>
    <t>Total opex, categories forecast specifically</t>
  </si>
  <si>
    <t>Actual</t>
  </si>
  <si>
    <t>Estimate</t>
  </si>
  <si>
    <t>RIN</t>
  </si>
  <si>
    <t>nominal</t>
  </si>
  <si>
    <t>Categories of opex to be excluded from forecast opex (excluding category specific forecasts)</t>
  </si>
  <si>
    <t>Ancillary service opex</t>
  </si>
  <si>
    <t>Total opex to be trended</t>
  </si>
  <si>
    <t>Expenditure related to category specific forecasts</t>
  </si>
  <si>
    <t>Specific Forecasts - UAG</t>
  </si>
  <si>
    <t>Specific Forecasts - Gov. levies</t>
  </si>
  <si>
    <t>Specific Forecasts - Debt raising costs</t>
  </si>
  <si>
    <t>Input | Adjustments</t>
  </si>
  <si>
    <t>Adjustment</t>
  </si>
  <si>
    <t>External</t>
  </si>
  <si>
    <t>Non-recurrent efficiency gain in the base year</t>
  </si>
  <si>
    <t>Efficiency adjustment</t>
  </si>
  <si>
    <t>Per cent</t>
  </si>
  <si>
    <t>Input |Step changes</t>
  </si>
  <si>
    <t>Step change</t>
  </si>
  <si>
    <t>Input | Category specifc forecasts</t>
  </si>
  <si>
    <t>Category specific forecasts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</si>
  <si>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</si>
  <si>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</si>
  <si>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</si>
  <si>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</si>
  <si>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</si>
  <si>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</si>
  <si>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Approved forecast opex, base year, total</t>
  </si>
  <si>
    <t>Approved forecast opex, final year, total</t>
  </si>
  <si>
    <t>Reported opex, category specific forecasts</t>
  </si>
  <si>
    <t>Approved forecast opex, base year, category specific forecasts</t>
  </si>
  <si>
    <t>Approved forecast opex, final year,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</si>
  <si>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</si>
  <si>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</si>
  <si>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</si>
  <si>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</si>
  <si>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</si>
  <si>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</si>
  <si>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</si>
  <si>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</si>
  <si>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</si>
  <si>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</si>
  <si>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</si>
  <si>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</si>
  <si>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</si>
  <si>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</si>
  <si>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</si>
  <si>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</si>
  <si>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</si>
  <si>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</si>
  <si>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</si>
  <si>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</si>
  <si>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</si>
  <si>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</si>
  <si>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</si>
  <si>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</si>
  <si>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</si>
  <si>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</si>
  <si>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</si>
  <si>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</si>
  <si>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Notes</t>
  </si>
  <si>
    <t>Calc | Opex forecast</t>
  </si>
  <si>
    <t>Stage</t>
  </si>
  <si>
    <t>Ref</t>
  </si>
  <si>
    <t>Pre-submission</t>
  </si>
  <si>
    <t>Network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</si>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</sst>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%;\–0.00%;&quot;–&quot;"/>
    <numFmt numFmtId="209" formatCode="#,##0.0_ ;\-#,##0.0\ "/>
    <numFmt numFmtId="210" formatCode="#,##0.00_ ;\-#,##0.00\ "/>
    <numFmt numFmtId="211" formatCode="_-* ####\ ##0.00_-;\-* ####\ ##0.00_-;_-* &quot;-&quot;??_-;_-@_-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07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7" fontId="13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5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0" fontId="2" fillId="0" borderId="0"/>
    <xf numFmtId="167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  <xf numFmtId="0" fontId="15" fillId="38" borderId="29" applyNumberFormat="0" applyFont="0" applyFill="0" applyAlignment="0" applyProtection="0">
      <alignment horizontal="center" vertical="center"/>
    </xf>
  </cellStyleXfs>
  <cellXfs count="21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7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7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6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8" fillId="39" borderId="4" xfId="0" applyFont="1" applyFill="1" applyBorder="1" applyAlignment="1">
      <alignment vertical="center"/>
    </xf>
    <xf numFmtId="166" fontId="78" fillId="39" borderId="4" xfId="0" applyNumberFormat="1" applyFont="1" applyFill="1" applyBorder="1" applyAlignment="1">
      <alignment horizontal="center" wrapText="1"/>
    </xf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7" fontId="0" fillId="0" borderId="0" xfId="0" applyNumberForma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Border="1" applyAlignment="1">
      <alignment horizontal="left" indent="1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7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68" fontId="0" fillId="0" borderId="0" xfId="0" applyNumberForma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6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ill="1" applyBorder="1" applyAlignment="1" applyProtection="1">
      <alignment horizontal="left" indent="1"/>
      <protection locked="0"/>
    </xf>
    <xf numFmtId="168" fontId="0" fillId="41" borderId="3" xfId="0" applyNumberForma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>
      <alignment horizontal="center"/>
    </xf>
    <xf numFmtId="208" fontId="0" fillId="8" borderId="3" xfId="2" applyNumberFormat="1" applyFont="1" applyFill="1" applyBorder="1" applyAlignment="1" applyProtection="1">
      <alignment horizontal="center"/>
    </xf>
    <xf numFmtId="209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Alignment="1" applyProtection="1">
      <alignment horizontal="left"/>
      <protection locked="0"/>
    </xf>
    <xf numFmtId="2" fontId="20" fillId="0" borderId="0" xfId="0" applyNumberFormat="1" applyFont="1" applyAlignment="1" applyProtection="1">
      <alignment horizontal="center"/>
      <protection locked="0"/>
    </xf>
    <xf numFmtId="49" fontId="20" fillId="41" borderId="3" xfId="0" applyNumberFormat="1" applyFont="1" applyFill="1" applyBorder="1" applyAlignment="1" applyProtection="1">
      <alignment horizontal="left" indent="1"/>
      <protection locked="0"/>
    </xf>
    <xf numFmtId="197" fontId="6" fillId="0" borderId="0" xfId="150" applyNumberFormat="1" applyFont="1" applyAlignment="1">
      <alignment horizontal="left"/>
    </xf>
    <xf numFmtId="195" fontId="6" fillId="0" borderId="0" xfId="150" applyNumberFormat="1" applyFont="1" applyProtection="1">
      <protection locked="0"/>
    </xf>
    <xf numFmtId="168" fontId="6" fillId="0" borderId="0" xfId="150" applyNumberFormat="1" applyFont="1"/>
    <xf numFmtId="210" fontId="0" fillId="0" borderId="0" xfId="0" applyNumberFormat="1"/>
    <xf numFmtId="2" fontId="0" fillId="0" borderId="0" xfId="0" applyNumberFormat="1" applyAlignment="1" applyProtection="1">
      <alignment horizontal="left"/>
      <protection locked="0"/>
    </xf>
    <xf numFmtId="10" fontId="6" fillId="41" borderId="3" xfId="4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49" fontId="15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/>
      <protection locked="0"/>
    </xf>
    <xf numFmtId="182" fontId="15" fillId="0" borderId="0" xfId="2" applyNumberFormat="1" applyFont="1" applyFill="1" applyBorder="1" applyAlignment="1" applyProtection="1">
      <alignment horizontal="center"/>
      <protection locked="0"/>
    </xf>
    <xf numFmtId="196" fontId="15" fillId="0" borderId="0" xfId="2" applyNumberFormat="1" applyFont="1" applyFill="1" applyBorder="1" applyAlignment="1" applyProtection="1">
      <alignment horizontal="center"/>
      <protection locked="0"/>
    </xf>
    <xf numFmtId="168" fontId="15" fillId="51" borderId="3" xfId="0" applyNumberFormat="1" applyFont="1" applyFill="1" applyBorder="1" applyAlignment="1" applyProtection="1">
      <alignment horizontal="left" indent="1"/>
      <protection locked="0"/>
    </xf>
    <xf numFmtId="1" fontId="6" fillId="41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3"/>
    <xf numFmtId="2" fontId="15" fillId="54" borderId="0" xfId="0" applyNumberFormat="1" applyFont="1" applyFill="1" applyAlignment="1" applyProtection="1">
      <alignment horizontal="center"/>
      <protection locked="0"/>
    </xf>
    <xf numFmtId="194" fontId="8" fillId="8" borderId="26" xfId="0" applyNumberFormat="1" applyFont="1" applyFill="1" applyBorder="1" applyAlignment="1" applyProtection="1">
      <alignment horizontal="center"/>
      <protection locked="0"/>
    </xf>
    <xf numFmtId="2" fontId="0" fillId="54" borderId="0" xfId="0" applyNumberFormat="1" applyFill="1" applyAlignment="1" applyProtection="1">
      <alignment horizontal="center"/>
      <protection locked="0"/>
    </xf>
    <xf numFmtId="167" fontId="0" fillId="0" borderId="0" xfId="6" applyFont="1" applyAlignment="1" applyProtection="1">
      <alignment horizontal="center"/>
      <protection locked="0"/>
    </xf>
    <xf numFmtId="10" fontId="6" fillId="0" borderId="0" xfId="2" applyNumberFormat="1" applyFont="1"/>
    <xf numFmtId="43" fontId="6" fillId="0" borderId="0" xfId="0" applyNumberFormat="1" applyFont="1"/>
    <xf numFmtId="211" fontId="6" fillId="0" borderId="0" xfId="0" applyNumberFormat="1" applyFont="1" applyAlignment="1">
      <alignment horizontal="center"/>
    </xf>
    <xf numFmtId="211" fontId="8" fillId="0" borderId="0" xfId="0" applyNumberFormat="1" applyFont="1" applyAlignment="1">
      <alignment horizontal="center"/>
    </xf>
    <xf numFmtId="0" fontId="74" fillId="38" borderId="2" xfId="0" applyFont="1" applyFill="1" applyBorder="1" applyAlignment="1">
      <alignment horizontal="center"/>
    </xf>
  </cellXfs>
  <cellStyles count="30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Q Unique" xfId="306" xr:uid="{19A59794-6696-4E35-BA66-FB0E822DAE3C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feb/outlook.html" TargetMode="External"/><Relationship Id="rId2" Type="http://schemas.openxmlformats.org/officeDocument/2006/relationships/hyperlink" Target="https://www.rba.gov.au/publications/smp/2025/feb/outlook.html" TargetMode="External"/><Relationship Id="rId1" Type="http://schemas.openxmlformats.org/officeDocument/2006/relationships/hyperlink" Target="https://www.rba.gov.au/publications/smp/2025/feb/outlook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5/feb/outlook.html" TargetMode="External"/><Relationship Id="rId4" Type="http://schemas.openxmlformats.org/officeDocument/2006/relationships/hyperlink" Target="https://www.rba.gov.au/publications/smp/2025/feb/outlook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A32" sqref="A32"/>
    </sheetView>
  </sheetViews>
  <sheetFormatPr defaultColWidth="0" defaultRowHeight="10.1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0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1</v>
      </c>
      <c r="C2" s="30"/>
      <c r="D2" s="31"/>
      <c r="E2" s="31"/>
    </row>
    <row r="3" spans="1:30" s="6" customFormat="1" ht="3" customHeight="1"/>
    <row r="4" spans="1:30" customFormat="1" ht="13.15">
      <c r="A4" s="32"/>
      <c r="B4" s="38" t="s">
        <v>2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3</v>
      </c>
      <c r="D6" s="9" t="s">
        <v>4</v>
      </c>
    </row>
    <row r="7" spans="1:30">
      <c r="C7" s="182" t="s">
        <v>5</v>
      </c>
      <c r="D7" s="8" t="s">
        <v>6</v>
      </c>
    </row>
    <row r="8" spans="1:30">
      <c r="C8" s="182" t="s">
        <v>7</v>
      </c>
      <c r="D8" s="8" t="s">
        <v>8</v>
      </c>
    </row>
    <row r="9" spans="1:30">
      <c r="C9" s="182" t="s">
        <v>9</v>
      </c>
      <c r="D9" s="8" t="s">
        <v>10</v>
      </c>
    </row>
    <row r="10" spans="1:30">
      <c r="C10" s="182" t="s">
        <v>11</v>
      </c>
      <c r="D10" s="8" t="s">
        <v>12</v>
      </c>
    </row>
    <row r="11" spans="1:30">
      <c r="C11" s="182" t="s">
        <v>13</v>
      </c>
      <c r="D11" s="8" t="s">
        <v>14</v>
      </c>
    </row>
    <row r="12" spans="1:30">
      <c r="C12" s="182" t="s">
        <v>15</v>
      </c>
      <c r="D12" s="8" t="s">
        <v>16</v>
      </c>
    </row>
    <row r="13" spans="1:30">
      <c r="C13" s="182" t="s">
        <v>17</v>
      </c>
      <c r="D13" s="8" t="s">
        <v>18</v>
      </c>
    </row>
    <row r="14" spans="1:30">
      <c r="C14" s="182" t="s">
        <v>19</v>
      </c>
      <c r="D14" s="8" t="s">
        <v>20</v>
      </c>
    </row>
    <row r="15" spans="1:30">
      <c r="C15" s="182" t="s">
        <v>21</v>
      </c>
      <c r="D15" s="8" t="s">
        <v>22</v>
      </c>
    </row>
    <row r="16" spans="1:30" ht="13.9">
      <c r="C16" s="10"/>
      <c r="D16" s="7"/>
    </row>
    <row r="17" spans="1:30" customFormat="1" ht="13.15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.9" hidden="1">
      <c r="C31" s="10"/>
      <c r="D31" s="7"/>
    </row>
  </sheetData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N11" sqref="N11"/>
    </sheetView>
  </sheetViews>
  <sheetFormatPr defaultColWidth="0" defaultRowHeight="10.1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>IF(COUNTA($S$5:$S$16)=COUNTIF($S5:$S17,"OK"),"OK","Check")</f>
        <v>OK</v>
      </c>
      <c r="U1" s="184" t="s">
        <v>30</v>
      </c>
      <c r="V1" s="29" t="str">
        <f>'Check|List'!$S$1</f>
        <v>Ok</v>
      </c>
    </row>
    <row r="2" spans="1:30" s="31" customFormat="1" ht="13.9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.15">
      <c r="A4" s="32"/>
      <c r="B4" s="38" t="s">
        <v>31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32</v>
      </c>
      <c r="D6" s="20" t="s">
        <v>33</v>
      </c>
      <c r="E6" s="20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39" t="s">
        <v>37</v>
      </c>
      <c r="H7" s="8"/>
      <c r="I7" s="8"/>
      <c r="S7" s="81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39" t="s">
        <v>40</v>
      </c>
      <c r="H8" s="8"/>
      <c r="I8" s="8"/>
      <c r="S8" s="81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93">
        <v>2022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93">
        <v>2026</v>
      </c>
      <c r="H12" s="8"/>
      <c r="I12" s="8"/>
      <c r="S12" s="81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93">
        <v>2027</v>
      </c>
      <c r="H13" s="8"/>
      <c r="I13" s="8"/>
      <c r="S13" s="81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93">
        <v>2031</v>
      </c>
      <c r="H14" s="8"/>
      <c r="I14" s="8"/>
      <c r="S14" s="81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93" t="s">
        <v>48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.15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63" priority="1" operator="equal">
      <formula>"Check"</formula>
    </cfRule>
    <cfRule type="cellIs" dxfId="162" priority="2" operator="equal">
      <formula>"Ok"</formula>
    </cfRule>
  </conditionalFormatting>
  <conditionalFormatting sqref="S7:S15">
    <cfRule type="cellIs" dxfId="161" priority="5" operator="equal">
      <formula>"Check"</formula>
    </cfRule>
    <cfRule type="cellIs" dxfId="160" priority="6" operator="equal">
      <formula>"Ok"</formula>
    </cfRule>
  </conditionalFormatting>
  <conditionalFormatting sqref="V1">
    <cfRule type="cellIs" dxfId="159" priority="3" operator="equal">
      <formula>"Check"</formula>
    </cfRule>
    <cfRule type="cellIs" dxfId="158" priority="4" operator="equal">
      <formula>"Ok"</formula>
    </cfRule>
  </conditionalFormatting>
  <conditionalFormatting sqref="W14:W16">
    <cfRule type="cellIs" dxfId="157" priority="13" operator="equal">
      <formula>"Check"</formula>
    </cfRule>
    <cfRule type="cellIs" dxfId="156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G10:G13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  <x14:dataValidation type="list" allowBlank="1" showInputMessage="1" showErrorMessage="1" xr:uid="{F2AB5DEF-6B0B-4509-9532-BAC5C7B17CDE}">
          <x14:formula1>
            <xm:f>'Lookup|Tables'!$G$48:$G$68</xm:f>
          </x14:formula1>
          <xm:sqref>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12"/>
  <sheetViews>
    <sheetView showGridLines="0" topLeftCell="A55" workbookViewId="0">
      <selection activeCell="I66" sqref="I66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27" customFormat="1" ht="15.6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3" t="s">
        <v>24</v>
      </c>
      <c r="O1" s="28" t="s">
        <v>25</v>
      </c>
      <c r="P1" s="46" t="s">
        <v>26</v>
      </c>
      <c r="Q1" s="11" t="s">
        <v>27</v>
      </c>
      <c r="R1" s="12" t="s">
        <v>28</v>
      </c>
      <c r="U1" s="28" t="s">
        <v>29</v>
      </c>
      <c r="V1" s="29" t="str">
        <f>IF(COUNTA($V$5:$V$101)=COUNTIF($V5:$V102,"OK"),"OK","Check")</f>
        <v>OK</v>
      </c>
      <c r="X1" s="184" t="s">
        <v>30</v>
      </c>
      <c r="Y1" s="29" t="str">
        <f>'Check|List'!$S$1</f>
        <v>Ok</v>
      </c>
    </row>
    <row r="2" spans="1:33" s="31" customFormat="1" ht="13.9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.15">
      <c r="A4" s="32"/>
      <c r="B4" s="38" t="s">
        <v>31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1">
      <c r="D6" s="47" t="s">
        <v>49</v>
      </c>
      <c r="E6" s="47" t="s">
        <v>50</v>
      </c>
      <c r="F6" s="47" t="s">
        <v>49</v>
      </c>
      <c r="G6" s="47" t="s">
        <v>51</v>
      </c>
      <c r="H6" s="47" t="s">
        <v>52</v>
      </c>
      <c r="I6" s="47" t="s">
        <v>50</v>
      </c>
      <c r="J6" s="47"/>
      <c r="K6" s="8"/>
      <c r="L6" s="8"/>
    </row>
    <row r="7" spans="1:33" ht="10.15">
      <c r="C7" s="9" t="s">
        <v>33</v>
      </c>
      <c r="D7" s="50" t="s">
        <v>53</v>
      </c>
      <c r="E7" s="50" t="s">
        <v>54</v>
      </c>
      <c r="F7" s="50" t="s">
        <v>53</v>
      </c>
      <c r="G7" s="50" t="s">
        <v>55</v>
      </c>
      <c r="H7" s="50" t="s">
        <v>54</v>
      </c>
      <c r="I7" s="50" t="s">
        <v>54</v>
      </c>
      <c r="J7" s="50"/>
      <c r="K7" s="8"/>
      <c r="L7" s="8"/>
    </row>
    <row r="8" spans="1:33" ht="10.15">
      <c r="C8" s="9" t="s">
        <v>56</v>
      </c>
      <c r="D8" s="50" t="s">
        <v>57</v>
      </c>
      <c r="E8" s="50" t="s">
        <v>58</v>
      </c>
      <c r="F8" s="50" t="s">
        <v>57</v>
      </c>
      <c r="G8" s="50" t="s">
        <v>58</v>
      </c>
      <c r="H8" s="50" t="s">
        <v>57</v>
      </c>
      <c r="I8" s="50" t="s">
        <v>58</v>
      </c>
      <c r="J8" s="50"/>
      <c r="K8" s="8"/>
      <c r="L8" s="8"/>
    </row>
    <row r="9" spans="1:33" ht="10.15">
      <c r="C9" s="49">
        <v>39172</v>
      </c>
      <c r="D9" s="48">
        <v>155.6</v>
      </c>
      <c r="E9" s="8"/>
      <c r="F9" s="189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15">
      <c r="C10" s="49">
        <v>39263</v>
      </c>
      <c r="D10" s="48">
        <v>157.5</v>
      </c>
      <c r="E10" s="8"/>
      <c r="F10" s="189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15">
      <c r="C11" s="49">
        <v>39355</v>
      </c>
      <c r="D11" s="48">
        <v>158.6</v>
      </c>
      <c r="E11" s="8"/>
      <c r="F11" s="189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15">
      <c r="C12" s="49">
        <v>39447</v>
      </c>
      <c r="D12" s="48">
        <v>160.1</v>
      </c>
      <c r="E12" s="8"/>
      <c r="F12" s="189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15">
      <c r="C13" s="49">
        <v>39538</v>
      </c>
      <c r="D13" s="48">
        <v>162.19999999999999</v>
      </c>
      <c r="E13" s="72">
        <f>D13/D9-1</f>
        <v>4.2416452442159303E-2</v>
      </c>
      <c r="F13" s="189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15">
      <c r="C14" s="49">
        <v>39629</v>
      </c>
      <c r="D14" s="48">
        <v>164.6</v>
      </c>
      <c r="E14" s="72">
        <f t="shared" ref="E14:E29" si="0">D14/D10-1</f>
        <v>4.5079365079365052E-2</v>
      </c>
      <c r="F14" s="189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15">
      <c r="C15" s="49">
        <v>39721</v>
      </c>
      <c r="D15" s="48">
        <v>166.5</v>
      </c>
      <c r="E15" s="72">
        <f t="shared" si="0"/>
        <v>4.9810844892812067E-2</v>
      </c>
      <c r="F15" s="189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15">
      <c r="C16" s="49">
        <v>39813</v>
      </c>
      <c r="D16" s="48">
        <v>166</v>
      </c>
      <c r="E16" s="72">
        <f t="shared" si="0"/>
        <v>3.6851967520299844E-2</v>
      </c>
      <c r="F16" s="189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15">
      <c r="C17" s="49">
        <v>39903</v>
      </c>
      <c r="D17" s="48">
        <v>166.2</v>
      </c>
      <c r="E17" s="72">
        <f t="shared" si="0"/>
        <v>2.4660912453760897E-2</v>
      </c>
      <c r="F17" s="189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15">
      <c r="C18" s="49">
        <v>39994</v>
      </c>
      <c r="D18" s="48">
        <v>167</v>
      </c>
      <c r="E18" s="72">
        <f t="shared" si="0"/>
        <v>1.4580801944106936E-2</v>
      </c>
      <c r="F18" s="189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15">
      <c r="C19" s="49">
        <v>40086</v>
      </c>
      <c r="D19" s="48">
        <v>168.6</v>
      </c>
      <c r="E19" s="72">
        <f t="shared" si="0"/>
        <v>1.2612612612612484E-2</v>
      </c>
      <c r="F19" s="189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15">
      <c r="C20" s="49">
        <v>40178</v>
      </c>
      <c r="D20" s="48">
        <v>169.5</v>
      </c>
      <c r="E20" s="72">
        <f t="shared" si="0"/>
        <v>2.108433734939763E-2</v>
      </c>
      <c r="F20" s="189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15">
      <c r="C21" s="49">
        <v>40268</v>
      </c>
      <c r="D21" s="48">
        <v>171</v>
      </c>
      <c r="E21" s="72">
        <f t="shared" si="0"/>
        <v>2.8880866425992746E-2</v>
      </c>
      <c r="F21" s="190">
        <v>95.2</v>
      </c>
      <c r="G21" s="117"/>
      <c r="H21" s="117">
        <f>IF(F21="",IF(COUNT(G21:G$100)=0,"",IF(ISBLANK(G21),AVERAGE(H20,H22),(1+G21)*H17)),F21)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15">
      <c r="C22" s="49">
        <v>40359</v>
      </c>
      <c r="D22" s="48">
        <v>172.1</v>
      </c>
      <c r="E22" s="72">
        <f t="shared" si="0"/>
        <v>3.0538922155688653E-2</v>
      </c>
      <c r="F22" s="190">
        <v>95.8</v>
      </c>
      <c r="G22" s="117"/>
      <c r="H22" s="117">
        <f>IF(F22="",IF(COUNT(G22:G$100)=0,"",IF(ISBLANK(G22),AVERAGE(H21,H23),(1+G22)*H18)),F22)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15">
      <c r="C23" s="49">
        <v>40451</v>
      </c>
      <c r="D23" s="48">
        <v>173.3</v>
      </c>
      <c r="E23" s="72">
        <f t="shared" si="0"/>
        <v>2.7876631079478242E-2</v>
      </c>
      <c r="F23" s="190">
        <v>96.5</v>
      </c>
      <c r="G23" s="117"/>
      <c r="H23" s="117">
        <f>IF(F23="",IF(COUNT(G23:G$100)=0,"",IF(ISBLANK(G23),AVERAGE(H22,H24),(1+G23)*H19)),F23)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15">
      <c r="C24" s="49">
        <v>40543</v>
      </c>
      <c r="D24" s="48">
        <v>174</v>
      </c>
      <c r="E24" s="72">
        <f t="shared" si="0"/>
        <v>2.6548672566371723E-2</v>
      </c>
      <c r="F24" s="190">
        <v>96.9</v>
      </c>
      <c r="G24" s="117"/>
      <c r="H24" s="117">
        <f>IF(F24="",IF(COUNT(G24:G$100)=0,"",IF(ISBLANK(G24),AVERAGE(H23,H25),(1+G24)*H20)),F24)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15">
      <c r="C25" s="49">
        <v>40633</v>
      </c>
      <c r="D25" s="48">
        <v>176.7</v>
      </c>
      <c r="E25" s="72">
        <f t="shared" si="0"/>
        <v>3.3333333333333215E-2</v>
      </c>
      <c r="F25" s="190">
        <v>98.3</v>
      </c>
      <c r="G25" s="117"/>
      <c r="H25" s="117">
        <f>IF(F25="",IF(COUNT(G25:G$100)=0,"",IF(ISBLANK(G25),AVERAGE(H24,H26),(1+G25)*H21)),F25)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15">
      <c r="C26" s="49">
        <v>40724</v>
      </c>
      <c r="D26" s="48">
        <v>178.3</v>
      </c>
      <c r="E26" s="72">
        <f t="shared" si="0"/>
        <v>3.6025566531086683E-2</v>
      </c>
      <c r="F26" s="190">
        <v>99.2</v>
      </c>
      <c r="G26" s="117"/>
      <c r="H26" s="117">
        <f>IF(F26="",IF(COUNT(G26:G$100)=0,"",IF(ISBLANK(G26),AVERAGE(H25,H27),(1+G26)*H22)),F26)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15">
      <c r="C27" s="49">
        <v>40816</v>
      </c>
      <c r="D27" s="48">
        <v>179.4</v>
      </c>
      <c r="E27" s="72">
        <f t="shared" si="0"/>
        <v>3.5199076745527913E-2</v>
      </c>
      <c r="F27" s="190">
        <v>99.8</v>
      </c>
      <c r="G27" s="117"/>
      <c r="H27" s="117">
        <f>IF(F27="",IF(COUNT(G27:G$100)=0,"",IF(ISBLANK(G27),AVERAGE(H26,H28),(1+G27)*H23)),F27)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15">
      <c r="C28" s="49">
        <v>40908</v>
      </c>
      <c r="D28" s="48">
        <v>179.4</v>
      </c>
      <c r="E28" s="72">
        <f t="shared" si="0"/>
        <v>3.1034482758620641E-2</v>
      </c>
      <c r="F28" s="190">
        <v>99.8</v>
      </c>
      <c r="G28" s="117"/>
      <c r="H28" s="117">
        <f>IF(F28="",IF(COUNT(G28:G$100)=0,"",IF(ISBLANK(G28),AVERAGE(H27,H29),(1+G28)*H24)),F28)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15">
      <c r="C29" s="49">
        <v>40999</v>
      </c>
      <c r="D29" s="48">
        <v>179.5</v>
      </c>
      <c r="E29" s="72">
        <f t="shared" si="0"/>
        <v>1.5846066779853007E-2</v>
      </c>
      <c r="F29" s="190">
        <v>99.9</v>
      </c>
      <c r="G29" s="117"/>
      <c r="H29" s="117">
        <f>IF(F29="",IF(COUNT(G29:G$100)=0,"",IF(ISBLANK(G29),AVERAGE(H28,H30),(1+G29)*H25)),F29)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15">
      <c r="C30" s="49">
        <v>41090</v>
      </c>
      <c r="D30" s="8"/>
      <c r="E30" s="8"/>
      <c r="F30" s="190">
        <v>100.4</v>
      </c>
      <c r="G30" s="117"/>
      <c r="H30" s="117">
        <f>IF(F30="",IF(COUNT(G30:G$100)=0,"",IF(ISBLANK(G30),AVERAGE(H29,H31),(1+G30)*H26)),F30)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15">
      <c r="C31" s="49">
        <v>41182</v>
      </c>
      <c r="D31" s="8"/>
      <c r="E31" s="8"/>
      <c r="F31" s="190">
        <v>101.8</v>
      </c>
      <c r="G31" s="117"/>
      <c r="H31" s="117">
        <f>IF(F31="",IF(COUNT(G31:G$100)=0,"",IF(ISBLANK(G31),AVERAGE(H30,H32),(1+G31)*H27)),F31)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15">
      <c r="C32" s="49">
        <v>41274</v>
      </c>
      <c r="D32" s="8"/>
      <c r="E32" s="8"/>
      <c r="F32" s="190">
        <v>102</v>
      </c>
      <c r="G32" s="117"/>
      <c r="H32" s="117">
        <f>IF(F32="",IF(COUNT(G32:G$100)=0,"",IF(ISBLANK(G32),AVERAGE(H31,H33),(1+G32)*H28)),F32)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15">
      <c r="C33" s="49">
        <v>41364</v>
      </c>
      <c r="D33" s="8"/>
      <c r="E33" s="8"/>
      <c r="F33" s="190">
        <v>102.4</v>
      </c>
      <c r="G33" s="117"/>
      <c r="H33" s="117">
        <f>IF(F33="",IF(COUNT(G33:G$100)=0,"",IF(ISBLANK(G33),AVERAGE(H32,H34),(1+G33)*H29)),F33)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15">
      <c r="C34" s="49">
        <v>41455</v>
      </c>
      <c r="D34" s="8"/>
      <c r="E34" s="8"/>
      <c r="F34" s="190">
        <v>102.8</v>
      </c>
      <c r="G34" s="117"/>
      <c r="H34" s="117">
        <f>IF(F34="",IF(COUNT(G34:G$100)=0,"",IF(ISBLANK(G34),AVERAGE(H33,H35),(1+G34)*H30)),F34)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15">
      <c r="C35" s="49">
        <v>41547</v>
      </c>
      <c r="D35" s="8"/>
      <c r="E35" s="8"/>
      <c r="F35" s="190">
        <v>104</v>
      </c>
      <c r="G35" s="117"/>
      <c r="H35" s="117">
        <f>IF(F35="",IF(COUNT(G35:G$100)=0,"",IF(ISBLANK(G35),AVERAGE(H34,H36),(1+G35)*H31)),F35)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15">
      <c r="C36" s="49">
        <v>41639</v>
      </c>
      <c r="D36" s="8"/>
      <c r="E36" s="8"/>
      <c r="F36" s="190">
        <v>104.8</v>
      </c>
      <c r="G36" s="117"/>
      <c r="H36" s="117">
        <f>IF(F36="",IF(COUNT(G36:G$100)=0,"",IF(ISBLANK(G36),AVERAGE(H35,H37),(1+G36)*H32)),F36)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15">
      <c r="C37" s="49">
        <v>41729</v>
      </c>
      <c r="D37" s="8"/>
      <c r="E37" s="8"/>
      <c r="F37" s="190">
        <v>105.4</v>
      </c>
      <c r="G37" s="117"/>
      <c r="H37" s="117">
        <f>IF(F37="",IF(COUNT(G37:G$100)=0,"",IF(ISBLANK(G37),AVERAGE(H36,H38),(1+G37)*H33)),F37)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15">
      <c r="C38" s="49">
        <v>41820</v>
      </c>
      <c r="D38" s="8"/>
      <c r="E38" s="8"/>
      <c r="F38" s="190">
        <v>105.9</v>
      </c>
      <c r="G38" s="117"/>
      <c r="H38" s="117">
        <f>IF(F38="",IF(COUNT(G38:G$100)=0,"",IF(ISBLANK(G38),AVERAGE(H37,H39),(1+G38)*H34)),F38)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15">
      <c r="C39" s="49">
        <v>41912</v>
      </c>
      <c r="D39" s="8"/>
      <c r="E39" s="8"/>
      <c r="F39" s="190">
        <v>106.4</v>
      </c>
      <c r="G39" s="117"/>
      <c r="H39" s="117">
        <f>IF(F39="",IF(COUNT(G39:G$100)=0,"",IF(ISBLANK(G39),AVERAGE(H38,H40),(1+G39)*H35)),F39)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15">
      <c r="C40" s="49">
        <v>42004</v>
      </c>
      <c r="D40" s="8"/>
      <c r="E40" s="8"/>
      <c r="F40" s="190">
        <v>106.6</v>
      </c>
      <c r="G40" s="117"/>
      <c r="H40" s="117">
        <f>IF(F40="",IF(COUNT(G40:G$100)=0,"",IF(ISBLANK(G40),AVERAGE(H39,H41),(1+G40)*H36)),F40)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15">
      <c r="C41" s="49">
        <v>42094</v>
      </c>
      <c r="D41" s="8"/>
      <c r="E41" s="8"/>
      <c r="F41" s="190">
        <v>106.8</v>
      </c>
      <c r="G41" s="117"/>
      <c r="H41" s="117">
        <f>IF(F41="",IF(COUNT(G41:G$100)=0,"",IF(ISBLANK(G41),AVERAGE(H40,H42),(1+G41)*H37)),F41)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15">
      <c r="C42" s="49">
        <v>42185</v>
      </c>
      <c r="D42" s="8"/>
      <c r="E42" s="8"/>
      <c r="F42" s="190">
        <v>107.5</v>
      </c>
      <c r="G42" s="117"/>
      <c r="H42" s="117">
        <f>IF(F42="",IF(COUNT(G42:G$100)=0,"",IF(ISBLANK(G42),AVERAGE(H41,H43),(1+G42)*H38)),F42)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15">
      <c r="C43" s="49">
        <v>42277</v>
      </c>
      <c r="D43" s="8"/>
      <c r="E43" s="8"/>
      <c r="F43" s="190">
        <v>108</v>
      </c>
      <c r="G43" s="117"/>
      <c r="H43" s="117">
        <f>IF(F43="",IF(COUNT(G43:G$100)=0,"",IF(ISBLANK(G43),AVERAGE(H42,H44),(1+G43)*H39)),F43)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15">
      <c r="C44" s="49">
        <v>42369</v>
      </c>
      <c r="D44" s="8"/>
      <c r="E44" s="8"/>
      <c r="F44" s="190">
        <v>108.4</v>
      </c>
      <c r="G44" s="117"/>
      <c r="H44" s="117">
        <f>IF(F44="",IF(COUNT(G44:G$100)=0,"",IF(ISBLANK(G44),AVERAGE(H43,H45),(1+G44)*H40)),F44)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15">
      <c r="C45" s="49">
        <v>42460</v>
      </c>
      <c r="D45" s="8"/>
      <c r="E45" s="8"/>
      <c r="F45" s="190">
        <v>108.2</v>
      </c>
      <c r="G45" s="117"/>
      <c r="H45" s="117">
        <f>IF(F45="",IF(COUNT(G45:G$100)=0,"",IF(ISBLANK(G45),AVERAGE(H44,H46),(1+G45)*H41)),F45)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15">
      <c r="C46" s="49">
        <v>42551</v>
      </c>
      <c r="D46" s="8"/>
      <c r="E46" s="8"/>
      <c r="F46" s="190">
        <v>108.6</v>
      </c>
      <c r="G46" s="117"/>
      <c r="H46" s="117">
        <f>IF(F46="",IF(COUNT(G46:G$100)=0,"",IF(ISBLANK(G46),AVERAGE(H45,H47),(1+G46)*H42)),F46)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15">
      <c r="C47" s="49">
        <v>42643</v>
      </c>
      <c r="D47" s="8"/>
      <c r="E47" s="8"/>
      <c r="F47" s="190">
        <v>109.4</v>
      </c>
      <c r="G47" s="117"/>
      <c r="H47" s="117">
        <f>IF(F47="",IF(COUNT(G47:G$100)=0,"",IF(ISBLANK(G47),AVERAGE(H46,H48),(1+G47)*H43)),F47)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15">
      <c r="C48" s="49">
        <v>42735</v>
      </c>
      <c r="D48" s="8"/>
      <c r="E48" s="8"/>
      <c r="F48" s="190">
        <v>110</v>
      </c>
      <c r="G48" s="117"/>
      <c r="H48" s="117">
        <f>IF(F48="",IF(COUNT(G48:G$100)=0,"",IF(ISBLANK(G48),AVERAGE(H47,H49),(1+G48)*H44)),F48)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15">
      <c r="C49" s="49">
        <v>42825</v>
      </c>
      <c r="D49" s="8"/>
      <c r="E49" s="8"/>
      <c r="F49" s="190">
        <v>110.5</v>
      </c>
      <c r="G49" s="117"/>
      <c r="H49" s="117">
        <f>IF(F49="",IF(COUNT(G49:G$100)=0,"",IF(ISBLANK(G49),AVERAGE(H48,H50),(1+G49)*H45)),F49)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15">
      <c r="C50" s="49">
        <v>42916</v>
      </c>
      <c r="D50" s="8"/>
      <c r="E50" s="8"/>
      <c r="F50" s="190">
        <v>110.7</v>
      </c>
      <c r="G50" s="117"/>
      <c r="H50" s="117">
        <f>IF(F50="",IF(COUNT(G50:G$100)=0,"",IF(ISBLANK(G50),AVERAGE(H49,H51),(1+G50)*H46)),F50)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15">
      <c r="C51" s="49">
        <v>43008</v>
      </c>
      <c r="D51" s="8"/>
      <c r="E51" s="8"/>
      <c r="F51" s="190">
        <v>111.4</v>
      </c>
      <c r="G51" s="117"/>
      <c r="H51" s="117">
        <f>IF(F51="",IF(COUNT(G51:G$100)=0,"",IF(ISBLANK(G51),AVERAGE(H50,H52),(1+G51)*H47)),F51)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15">
      <c r="C52" s="49">
        <v>43100</v>
      </c>
      <c r="D52" s="8"/>
      <c r="E52" s="8"/>
      <c r="F52" s="190">
        <v>112.1</v>
      </c>
      <c r="G52" s="117"/>
      <c r="H52" s="117">
        <f>IF(F52="",IF(COUNT(G52:G$100)=0,"",IF(ISBLANK(G52),AVERAGE(H51,H53),(1+G52)*H48)),F52)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15">
      <c r="C53" s="49">
        <v>43190</v>
      </c>
      <c r="D53" s="8"/>
      <c r="E53" s="8"/>
      <c r="F53" s="190">
        <v>112.6</v>
      </c>
      <c r="G53" s="117"/>
      <c r="H53" s="117">
        <f>IF(F53="",IF(COUNT(G53:G$100)=0,"",IF(ISBLANK(G53),AVERAGE(H52,H54),(1+G53)*H49)),F53)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15">
      <c r="C54" s="49">
        <v>43281</v>
      </c>
      <c r="D54" s="8"/>
      <c r="E54" s="8"/>
      <c r="F54" s="190">
        <v>113</v>
      </c>
      <c r="G54" s="117"/>
      <c r="H54" s="117">
        <f>IF(F54="",IF(COUNT(G54:G$100)=0,"",IF(ISBLANK(G54),AVERAGE(H53,H55),(1+G54)*H50)),F54)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15">
      <c r="C55" s="49">
        <v>43373</v>
      </c>
      <c r="D55" s="8"/>
      <c r="E55" s="8"/>
      <c r="F55" s="190">
        <v>113.5</v>
      </c>
      <c r="G55" s="117"/>
      <c r="H55" s="117">
        <f>IF(F55="",IF(COUNT(G55:G$100)=0,"",IF(ISBLANK(G55),AVERAGE(H54,H56),(1+G55)*H51)),F55)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15">
      <c r="C56" s="49">
        <v>43465</v>
      </c>
      <c r="D56" s="8"/>
      <c r="E56" s="8"/>
      <c r="F56" s="190">
        <v>114.1</v>
      </c>
      <c r="G56" s="117"/>
      <c r="H56" s="117">
        <f>IF(F56="",IF(COUNT(G56:G$100)=0,"",IF(ISBLANK(G56),AVERAGE(H55,H57),(1+G56)*H52)),F56)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15">
      <c r="C57" s="49">
        <v>43555</v>
      </c>
      <c r="D57" s="8"/>
      <c r="E57" s="8"/>
      <c r="F57" s="190">
        <v>114.1</v>
      </c>
      <c r="G57" s="117"/>
      <c r="H57" s="117">
        <f>IF(F57="",IF(COUNT(G57:G$100)=0,"",IF(ISBLANK(G57),AVERAGE(H56,H58),(1+G57)*H53)),F57)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15">
      <c r="C58" s="49">
        <v>43646</v>
      </c>
      <c r="D58" s="8"/>
      <c r="E58" s="8"/>
      <c r="F58" s="190">
        <v>114.8</v>
      </c>
      <c r="G58" s="117"/>
      <c r="H58" s="117">
        <f>IF(F58="",IF(COUNT(G58:G$100)=0,"",IF(ISBLANK(G58),AVERAGE(H57,H59),(1+G58)*H54)),F58)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15">
      <c r="C59" s="49">
        <v>43738</v>
      </c>
      <c r="D59" s="8"/>
      <c r="E59" s="8"/>
      <c r="F59" s="190">
        <v>115.4</v>
      </c>
      <c r="G59" s="117"/>
      <c r="H59" s="117">
        <f>IF(F59="",IF(COUNT(G59:G$100)=0,"",IF(ISBLANK(G59),AVERAGE(H58,H60),(1+G59)*H55)),F59)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15">
      <c r="C60" s="49">
        <v>43830</v>
      </c>
      <c r="D60" s="8"/>
      <c r="E60" s="8"/>
      <c r="F60" s="190">
        <v>116.2</v>
      </c>
      <c r="G60" s="117"/>
      <c r="H60" s="117">
        <f>IF(F60="",IF(COUNT(G60:G$100)=0,"",IF(ISBLANK(G60),AVERAGE(H59,H61),(1+G60)*H56)),F60)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15">
      <c r="C61" s="49">
        <v>43921</v>
      </c>
      <c r="D61" s="8"/>
      <c r="E61" s="8"/>
      <c r="F61" s="190">
        <v>116.6</v>
      </c>
      <c r="G61" s="117"/>
      <c r="H61" s="117">
        <f>IF(F61="",IF(COUNT(G61:G$100)=0,"",IF(ISBLANK(G61),AVERAGE(H60,H62),(1+G61)*H57)),F61)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15">
      <c r="C62" s="49">
        <v>44012</v>
      </c>
      <c r="D62" s="8"/>
      <c r="E62" s="8"/>
      <c r="F62" s="190">
        <v>114.4</v>
      </c>
      <c r="G62" s="117"/>
      <c r="H62" s="117">
        <f>IF(F62="",IF(COUNT(G62:G$100)=0,"",IF(ISBLANK(G62),AVERAGE(H61,H63),(1+G62)*H58)),F62)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15">
      <c r="C63" s="49">
        <v>44104</v>
      </c>
      <c r="D63" s="8"/>
      <c r="E63" s="8"/>
      <c r="F63" s="190">
        <v>116.2</v>
      </c>
      <c r="G63" s="117"/>
      <c r="H63" s="117">
        <f>IF(F63="",IF(COUNT(G63:G$100)=0,"",IF(ISBLANK(G63),AVERAGE(H62,H64),(1+G63)*H59)),F63)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15">
      <c r="C64" s="49">
        <v>44196</v>
      </c>
      <c r="D64" s="8"/>
      <c r="E64" s="8"/>
      <c r="F64" s="190">
        <v>117.2</v>
      </c>
      <c r="G64" s="117"/>
      <c r="H64" s="117">
        <f>IF(F64="",IF(COUNT(G64:G$100)=0,"",IF(ISBLANK(G64),AVERAGE(H63,H65),(1+G64)*H60)),F64)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15">
      <c r="C65" s="49">
        <v>44286</v>
      </c>
      <c r="D65" s="8"/>
      <c r="E65" s="8"/>
      <c r="F65" s="190">
        <v>117.9</v>
      </c>
      <c r="G65" s="117"/>
      <c r="H65" s="117">
        <f>IF(F65="",IF(COUNT(G65:G$100)=0,"",IF(ISBLANK(G65),AVERAGE(H64,H66),(1+G65)*H61)),F65)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15">
      <c r="C66" s="49">
        <v>44377</v>
      </c>
      <c r="D66" s="8"/>
      <c r="E66" s="8"/>
      <c r="F66" s="190">
        <v>118.8</v>
      </c>
      <c r="G66" s="117"/>
      <c r="H66" s="117">
        <f>IF(F66="",IF(COUNT(G66:G$100)=0,"",IF(ISBLANK(G66),AVERAGE(H65,H67),(1+G66)*H62)),F66)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15">
      <c r="C67" s="49">
        <v>44469</v>
      </c>
      <c r="D67" s="8"/>
      <c r="E67" s="8"/>
      <c r="F67" s="190">
        <v>119.7</v>
      </c>
      <c r="G67" s="117"/>
      <c r="H67" s="117">
        <f>IF(F67="",IF(COUNT(G67:G$100)=0,"",IF(ISBLANK(G67),AVERAGE(H66,H68),(1+G67)*H63)),F67)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15">
      <c r="C68" s="49">
        <v>44561</v>
      </c>
      <c r="D68" s="8"/>
      <c r="E68" s="8"/>
      <c r="F68" s="190">
        <v>121.3</v>
      </c>
      <c r="G68" s="117"/>
      <c r="H68" s="117">
        <f>IF(F68="",IF(COUNT(G68:G$100)=0,"",IF(ISBLANK(G68),AVERAGE(H67,H69),(1+G68)*H64)),F68)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15">
      <c r="C69" s="49">
        <v>44651</v>
      </c>
      <c r="D69" s="8"/>
      <c r="E69" s="8"/>
      <c r="F69" s="190">
        <v>123.9</v>
      </c>
      <c r="G69" s="117"/>
      <c r="H69" s="117">
        <f>IF(F69="",IF(COUNT(G69:G$100)=0,"",IF(ISBLANK(G69),AVERAGE(H68,H70),(1+G69)*H65)),F69)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15">
      <c r="C70" s="49">
        <v>44742</v>
      </c>
      <c r="D70" s="8"/>
      <c r="E70" s="8"/>
      <c r="F70" s="190">
        <v>126.1</v>
      </c>
      <c r="G70" s="117"/>
      <c r="H70" s="117">
        <f>IF(F70="",IF(COUNT(G70:G$100)=0,"",IF(ISBLANK(G70),AVERAGE(H69,H71),(1+G70)*H66)),F70)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15">
      <c r="C71" s="49">
        <v>44834</v>
      </c>
      <c r="D71" s="8"/>
      <c r="E71" s="8"/>
      <c r="F71" s="190">
        <v>128.4</v>
      </c>
      <c r="G71" s="117"/>
      <c r="H71" s="117">
        <f>IF(F71="",IF(COUNT(G71:G$100)=0,"",IF(ISBLANK(G71),AVERAGE(H70,H72),(1+G71)*H67)),F71)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15">
      <c r="C72" s="49">
        <v>44926</v>
      </c>
      <c r="D72" s="8"/>
      <c r="E72" s="8"/>
      <c r="F72" s="190">
        <v>130.80000000000001</v>
      </c>
      <c r="G72" s="110"/>
      <c r="H72" s="117">
        <f>IF(F72="",IF(COUNT(G72:G$100)=0,"",IF(ISBLANK(G72),AVERAGE(H71,H73),(1+G72)*H68)),F72)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15">
      <c r="C73" s="49">
        <v>45016</v>
      </c>
      <c r="D73" s="8"/>
      <c r="E73" s="8"/>
      <c r="F73" s="190">
        <v>132.6</v>
      </c>
      <c r="G73" s="110"/>
      <c r="H73" s="117">
        <f>IF(F73="",IF(COUNT(G73:G$100)=0,"",IF(ISBLANK(G73),AVERAGE(H72,H74),(1+G73)*H69)),F73)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15">
      <c r="C74" s="49">
        <v>45107</v>
      </c>
      <c r="D74" s="8"/>
      <c r="E74" s="8"/>
      <c r="F74" s="190">
        <v>133.69999999999999</v>
      </c>
      <c r="G74" s="110"/>
      <c r="H74" s="117">
        <f>IF(F74="",IF(COUNT(G74:G$100)=0,"",IF(ISBLANK(G74),AVERAGE(H73,H75),(1+G74)*H70)),F74)</f>
        <v>133.69999999999999</v>
      </c>
      <c r="I74" s="72">
        <f t="shared" si="1"/>
        <v>6.0269627279936566E-2</v>
      </c>
      <c r="J74" s="181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15">
      <c r="C75" s="49">
        <v>45199</v>
      </c>
      <c r="D75" s="8"/>
      <c r="E75" s="8"/>
      <c r="F75" s="190">
        <v>135.30000000000001</v>
      </c>
      <c r="G75" s="110"/>
      <c r="H75" s="117">
        <f>IF(F75="",IF(COUNT(G75:G$100)=0,"",IF(ISBLANK(G75),AVERAGE(H74,H76),(1+G75)*H71)),F75)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15">
      <c r="C76" s="49">
        <v>45291</v>
      </c>
      <c r="D76" s="8"/>
      <c r="E76" s="8"/>
      <c r="F76" s="190">
        <v>136.1</v>
      </c>
      <c r="G76" s="110"/>
      <c r="H76" s="117">
        <f>IF(F76="",IF(COUNT(G76:G$100)=0,"",IF(ISBLANK(G76),AVERAGE(H75,H77),(1+G76)*H72)),F76)</f>
        <v>136.1</v>
      </c>
      <c r="I76" s="72">
        <f t="shared" si="2"/>
        <v>4.0519877675840865E-2</v>
      </c>
      <c r="J76" s="186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15">
      <c r="C77" s="49">
        <v>45382</v>
      </c>
      <c r="D77" s="8"/>
      <c r="E77" s="8"/>
      <c r="F77" s="190">
        <v>137.4</v>
      </c>
      <c r="G77" s="110"/>
      <c r="H77" s="117">
        <f>IF(F77="",IF(COUNT(G77:G$100)=0,"",IF(ISBLANK(G77),AVERAGE(H76,H78),(1+G77)*H73)),F77)</f>
        <v>137.4</v>
      </c>
      <c r="I77" s="72">
        <f>IF(H77="","",H77/H73-1)</f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15">
      <c r="C78" s="49">
        <v>45473</v>
      </c>
      <c r="D78" s="8"/>
      <c r="E78" s="8"/>
      <c r="F78" s="190">
        <v>138.80000000000001</v>
      </c>
      <c r="G78" s="110"/>
      <c r="H78" s="117">
        <f>IF(F78="",IF(COUNT(G78:G$100)=0,"",IF(ISBLANK(G78),AVERAGE(H77,H79),(1+G78)*H74)),F78)</f>
        <v>138.80000000000001</v>
      </c>
      <c r="I78" s="72">
        <f t="shared" si="2"/>
        <v>3.8145100972326373E-2</v>
      </c>
      <c r="J78" s="186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15">
      <c r="C79" s="49">
        <v>45565</v>
      </c>
      <c r="D79" s="8"/>
      <c r="E79" s="8"/>
      <c r="F79" s="190">
        <v>139.1</v>
      </c>
      <c r="G79" s="110"/>
      <c r="H79" s="117">
        <f>IF(F79="",IF(COUNT(G79:G$100)=0,"",IF(ISBLANK(G79),AVERAGE(H78,H80),(1+G79)*H75)),F79)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15">
      <c r="C80" s="49">
        <v>45657</v>
      </c>
      <c r="D80" s="8"/>
      <c r="E80" s="8"/>
      <c r="F80" s="190">
        <v>139.4</v>
      </c>
      <c r="G80" s="110"/>
      <c r="H80" s="117">
        <f>IF(F80="",IF(COUNT(G80:G$100)=0,"",IF(ISBLANK(G80),AVERAGE(H79,H81),(1+G80)*H76)),F80)</f>
        <v>139.4</v>
      </c>
      <c r="I80" s="72">
        <f>IF(H80="","",H80/H76-1)</f>
        <v>2.4246877296105973E-2</v>
      </c>
      <c r="J80" s="209"/>
      <c r="K80" s="8"/>
      <c r="L80" s="8"/>
      <c r="V80" s="81" t="str">
        <f>IF(C80&gt;EOMONTH(DATE('Input|General'!$G$12,MONTH('Input|General'!$G$9),1),0),"Ok",IF(I80="","Check","Ok"))</f>
        <v>Ok</v>
      </c>
    </row>
    <row r="81" spans="3:22" ht="10.15">
      <c r="C81" s="49">
        <v>45747</v>
      </c>
      <c r="D81" s="8"/>
      <c r="E81" s="8"/>
      <c r="F81" s="190">
        <v>140.69999999999999</v>
      </c>
      <c r="G81" s="110"/>
      <c r="H81" s="117">
        <f>IF(F81="",IF(COUNT(G81:G$100)=0,"",IF(ISBLANK(G81),AVERAGE(H80,H82),(1+G81)*H77)),F81)</f>
        <v>140.69999999999999</v>
      </c>
      <c r="I81" s="72">
        <f t="shared" ref="I81:I84" si="3">IF(H81="","",H81/H77-1)</f>
        <v>2.4017467248908186E-2</v>
      </c>
      <c r="J81" s="116"/>
      <c r="K81" s="8"/>
      <c r="L81" s="8"/>
      <c r="V81" s="81" t="str">
        <f>IF(C81&gt;EOMONTH(DATE('Input|General'!$G$12,MONTH('Input|General'!$G$9),1),0),"Ok",IF(I81="","Check","Ok"))</f>
        <v>Ok</v>
      </c>
    </row>
    <row r="82" spans="3:22" ht="10.15">
      <c r="C82" s="49">
        <v>45838</v>
      </c>
      <c r="D82" s="8"/>
      <c r="E82" s="8"/>
      <c r="F82" s="190" t="s">
        <v>59</v>
      </c>
      <c r="G82" s="110">
        <v>2.4E-2</v>
      </c>
      <c r="H82" s="117">
        <f>IF(F82="",IF(COUNT(G82:G$100)=0,"",IF(ISBLANK(G82),AVERAGE(H81,H83),(1+G82)*H78)),F82)</f>
        <v>142.13120000000001</v>
      </c>
      <c r="I82" s="72">
        <f t="shared" si="3"/>
        <v>2.4000000000000021E-2</v>
      </c>
      <c r="J82" s="209" t="s">
        <v>60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3:22" ht="10.15">
      <c r="C83" s="49">
        <v>45930</v>
      </c>
      <c r="D83" s="8"/>
      <c r="E83" s="8"/>
      <c r="F83" s="190" t="s">
        <v>59</v>
      </c>
      <c r="G83" s="110"/>
      <c r="H83" s="117">
        <f>IF(F83="",IF(COUNT(G83:G$100)=0,"",IF(ISBLANK(G83),AVERAGE(H82,H84),(1+G83)*H79)),F83)</f>
        <v>143.34449999999998</v>
      </c>
      <c r="I83" s="72">
        <f t="shared" si="3"/>
        <v>3.0514018691588651E-2</v>
      </c>
      <c r="J83" s="116"/>
      <c r="K83" s="8"/>
      <c r="L83" s="8"/>
      <c r="V83" s="81" t="str">
        <f>IF(C83&gt;EOMONTH(DATE('Input|General'!$G$12,MONTH('Input|General'!$G$9),1),0),"Ok",IF(I83="","Check","Ok"))</f>
        <v>Ok</v>
      </c>
    </row>
    <row r="84" spans="3:22" ht="10.15">
      <c r="C84" s="49">
        <v>46022</v>
      </c>
      <c r="D84" s="8"/>
      <c r="E84" s="8"/>
      <c r="F84" s="190" t="s">
        <v>59</v>
      </c>
      <c r="G84" s="110">
        <v>3.6999999999999998E-2</v>
      </c>
      <c r="H84" s="117">
        <f>IF(F84="",IF(COUNT(G84:G$100)=0,"",IF(ISBLANK(G84),AVERAGE(H83,H85),(1+G84)*H80)),F84)</f>
        <v>144.55779999999999</v>
      </c>
      <c r="I84" s="72">
        <f t="shared" si="3"/>
        <v>3.6999999999999922E-2</v>
      </c>
      <c r="J84" s="209" t="s">
        <v>60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3:22" ht="10.15">
      <c r="C85" s="49">
        <v>46112</v>
      </c>
      <c r="D85" s="8"/>
      <c r="E85" s="8"/>
      <c r="F85" s="190" t="s">
        <v>59</v>
      </c>
      <c r="G85" s="110"/>
      <c r="H85" s="117">
        <f>IF(F85="",IF(COUNT(G85:G$100)=0,"",IF(ISBLANK(G85),AVERAGE(H84,H86),(1+G85)*H81)),F85)</f>
        <v>145.61859920000001</v>
      </c>
      <c r="I85" s="72">
        <f t="shared" ref="I85:I87" si="4">IF(H85="","",H85/H81-1)</f>
        <v>3.4958061122956741E-2</v>
      </c>
      <c r="J85" s="116"/>
      <c r="K85" s="8"/>
      <c r="L85" s="8"/>
      <c r="V85" s="81" t="str">
        <f>IF(C85&gt;EOMONTH(DATE('Input|General'!$G$12,MONTH('Input|General'!$G$9),1),0),"Ok",IF(I85="","Check","Ok"))</f>
        <v>Ok</v>
      </c>
    </row>
    <row r="86" spans="3:22" ht="10.15">
      <c r="C86" s="49">
        <v>46203</v>
      </c>
      <c r="D86" s="8"/>
      <c r="E86" s="8"/>
      <c r="F86" s="190" t="s">
        <v>59</v>
      </c>
      <c r="G86" s="110">
        <v>3.2000000000000001E-2</v>
      </c>
      <c r="H86" s="117">
        <f>IF(F86="",IF(COUNT(G86:G$100)=0,"",IF(ISBLANK(G86),AVERAGE(H85,H87),(1+G86)*H82)),F86)</f>
        <v>146.67939840000003</v>
      </c>
      <c r="I86" s="72">
        <f t="shared" si="4"/>
        <v>3.2000000000000028E-2</v>
      </c>
      <c r="J86" s="209" t="s">
        <v>60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3:22" ht="10.15">
      <c r="C87" s="49">
        <v>46295</v>
      </c>
      <c r="D87" s="8"/>
      <c r="E87" s="8"/>
      <c r="F87" s="190" t="s">
        <v>59</v>
      </c>
      <c r="G87" s="110"/>
      <c r="H87" s="117">
        <f>IF(F87="",IF(COUNT(G87:G$100)=0,"",IF(ISBLANK(G87),AVERAGE(H86,H88),(1+G87)*H83)),F87)</f>
        <v>147.64240840000002</v>
      </c>
      <c r="I87" s="72">
        <f t="shared" si="4"/>
        <v>2.9983071551402674E-2</v>
      </c>
      <c r="J87" s="116"/>
      <c r="K87" s="8"/>
      <c r="L87" s="8"/>
      <c r="V87" s="81" t="str">
        <f>IF(C87&gt;EOMONTH(DATE('Input|General'!$G$12,MONTH('Input|General'!$G$9),1),0),"Ok",IF(I87="","Check","Ok"))</f>
        <v>Ok</v>
      </c>
    </row>
    <row r="88" spans="3:22" ht="10.15">
      <c r="C88" s="49">
        <v>46387</v>
      </c>
      <c r="D88" s="8"/>
      <c r="E88" s="8"/>
      <c r="F88" s="190" t="s">
        <v>59</v>
      </c>
      <c r="G88" s="110">
        <v>2.8000000000000001E-2</v>
      </c>
      <c r="H88" s="117">
        <f>IF(F88="",IF(COUNT(G88:G$100)=0,"",IF(ISBLANK(G88),AVERAGE(H87,H89),(1+G88)*H84)),F88)</f>
        <v>148.60541839999999</v>
      </c>
      <c r="I88" s="72">
        <f>IF(H88="","",H88/H84-1)</f>
        <v>2.8000000000000025E-2</v>
      </c>
      <c r="J88" s="209" t="s">
        <v>60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3:22" ht="10.15">
      <c r="C89" s="194">
        <v>46477</v>
      </c>
      <c r="D89" s="8"/>
      <c r="E89" s="8"/>
      <c r="F89" s="190" t="s">
        <v>59</v>
      </c>
      <c r="G89" s="110"/>
      <c r="H89" s="117">
        <f>IF(F89="",IF(COUNT(G89:G$100)=0,"",IF(ISBLANK(G89),AVERAGE(H88,H90),(1+G89)*H85)),F89)</f>
        <v>149.62258027839999</v>
      </c>
      <c r="I89" s="72">
        <f t="shared" ref="I89:I100" si="5">IF(H89="","",H89/H85-1)</f>
        <v>2.7496357610889532E-2</v>
      </c>
      <c r="J89" s="116"/>
      <c r="K89" s="8"/>
      <c r="L89" s="8"/>
      <c r="V89" s="81" t="str">
        <f>IF(C89&gt;EOMONTH(DATE('Input|General'!$G$12,MONTH('Input|General'!$G$9),1),0),"Ok",IF(I89="","Check","Ok"))</f>
        <v>Ok</v>
      </c>
    </row>
    <row r="90" spans="3:22" ht="10.15">
      <c r="C90" s="194">
        <v>46568</v>
      </c>
      <c r="D90" s="8"/>
      <c r="E90" s="8"/>
      <c r="F90" s="190" t="s">
        <v>59</v>
      </c>
      <c r="G90" s="110">
        <v>2.7E-2</v>
      </c>
      <c r="H90" s="117">
        <f>IF(F90="",IF(COUNT(G90:G$100)=0,"",IF(ISBLANK(G90),AVERAGE(H89,H91),(1+G90)*H86)),F90)</f>
        <v>150.63974215680003</v>
      </c>
      <c r="I90" s="72">
        <f t="shared" si="5"/>
        <v>2.6999999999999913E-2</v>
      </c>
      <c r="J90" s="209" t="s">
        <v>60</v>
      </c>
      <c r="K90" s="8"/>
      <c r="L90" s="8"/>
      <c r="V90" s="81" t="str">
        <f>IF(C90&gt;EOMONTH(DATE('Input|General'!$G$12,MONTH('Input|General'!$G$9),1),0),"Ok",IF(I90="","Check","Ok"))</f>
        <v>Ok</v>
      </c>
    </row>
    <row r="91" spans="3:22" ht="10.15">
      <c r="C91" s="194">
        <v>46660</v>
      </c>
      <c r="D91" s="8"/>
      <c r="E91" s="8"/>
      <c r="F91" s="190" t="s">
        <v>59</v>
      </c>
      <c r="G91" s="110"/>
      <c r="H91" s="117">
        <f>IF(F91="",IF(COUNT(G91:G$100)=0,"",IF(ISBLANK(G91),AVERAGE(H90,H92),(1+G91)*H87)),F91)</f>
        <v>151.48014800840002</v>
      </c>
      <c r="I91" s="72">
        <f t="shared" si="5"/>
        <v>2.599347741607283E-2</v>
      </c>
      <c r="J91" s="195"/>
      <c r="K91" s="8"/>
      <c r="L91" s="8"/>
      <c r="V91" s="81" t="str">
        <f>IF(C91&gt;EOMONTH(DATE('Input|General'!$G$12,MONTH('Input|General'!$G$9),1),0),"Ok",IF(I91="","Check","Ok"))</f>
        <v>Ok</v>
      </c>
    </row>
    <row r="92" spans="3:22" ht="10.15">
      <c r="C92" s="194">
        <v>46752</v>
      </c>
      <c r="D92" s="8"/>
      <c r="E92" s="8"/>
      <c r="F92" s="190" t="s">
        <v>59</v>
      </c>
      <c r="G92" s="110">
        <v>2.5000000000000001E-2</v>
      </c>
      <c r="H92" s="117">
        <f>IF(F92="",IF(COUNT(G92:G$100)=0,"",IF(ISBLANK(G92),AVERAGE(H91,H93),(1+G92)*H88)),F92)</f>
        <v>152.32055385999999</v>
      </c>
      <c r="I92" s="72">
        <f t="shared" si="5"/>
        <v>2.4999999999999911E-2</v>
      </c>
      <c r="J92" s="116" t="s">
        <v>61</v>
      </c>
      <c r="K92" s="8"/>
      <c r="L92" s="8"/>
      <c r="V92" s="81" t="str">
        <f>IF(C92&gt;EOMONTH(DATE('Input|General'!$G$12,MONTH('Input|General'!$G$9),1),0),"Ok",IF(I92="","Check","Ok"))</f>
        <v>Ok</v>
      </c>
    </row>
    <row r="93" spans="3:22" ht="10.15">
      <c r="C93" s="194">
        <v>46843</v>
      </c>
      <c r="D93" s="8"/>
      <c r="E93" s="8"/>
      <c r="F93" s="190" t="s">
        <v>59</v>
      </c>
      <c r="G93" s="110"/>
      <c r="H93" s="117">
        <f>IF(F93="",IF(COUNT(G93:G$100)=0,"",IF(ISBLANK(G93),AVERAGE(H92,H94),(1+G93)*H89)),F93)</f>
        <v>153.36314478536002</v>
      </c>
      <c r="I93" s="72">
        <f t="shared" si="5"/>
        <v>2.5000000000000133E-2</v>
      </c>
      <c r="J93" s="196"/>
      <c r="K93" s="8"/>
      <c r="L93" s="8"/>
      <c r="V93" s="81" t="str">
        <f>IF(C93&gt;EOMONTH(DATE('Input|General'!$G$12,MONTH('Input|General'!$G$9),1),0),"Ok",IF(I93="","Check","Ok"))</f>
        <v>Ok</v>
      </c>
    </row>
    <row r="94" spans="3:22" ht="10.15">
      <c r="C94" s="194">
        <v>46934</v>
      </c>
      <c r="D94" s="8"/>
      <c r="E94" s="8"/>
      <c r="F94" s="190" t="s">
        <v>59</v>
      </c>
      <c r="G94" s="110">
        <v>2.5000000000000001E-2</v>
      </c>
      <c r="H94" s="117">
        <f>IF(F94="",IF(COUNT(G94:G$100)=0,"",IF(ISBLANK(G94),AVERAGE(H93,H95),(1+G94)*H90)),F94)</f>
        <v>154.40573571072002</v>
      </c>
      <c r="I94" s="72">
        <f t="shared" si="5"/>
        <v>2.4999999999999911E-2</v>
      </c>
      <c r="J94" s="116" t="s">
        <v>61</v>
      </c>
      <c r="K94" s="8"/>
      <c r="L94" s="8"/>
      <c r="V94" s="81" t="str">
        <f>IF(C94&gt;EOMONTH(DATE('Input|General'!$G$12,MONTH('Input|General'!$G$9),1),0),"Ok",IF(I94="","Check","Ok"))</f>
        <v>Ok</v>
      </c>
    </row>
    <row r="95" spans="3:22" ht="10.15">
      <c r="C95" s="194">
        <v>47026</v>
      </c>
      <c r="D95" s="8"/>
      <c r="E95" s="8"/>
      <c r="F95" s="190" t="s">
        <v>59</v>
      </c>
      <c r="G95" s="110"/>
      <c r="H95" s="117">
        <f>IF(F95="",IF(COUNT(G95:G$100)=0,"",IF(ISBLANK(G95),AVERAGE(H94,H96),(1+G95)*H91)),F95)</f>
        <v>155.26715170861002</v>
      </c>
      <c r="I95" s="72">
        <f t="shared" si="5"/>
        <v>2.4999999999999911E-2</v>
      </c>
      <c r="J95" s="196"/>
      <c r="K95" s="8"/>
      <c r="L95" s="8"/>
      <c r="V95" s="81" t="str">
        <f>IF(C95&gt;EOMONTH(DATE('Input|General'!$G$12,MONTH('Input|General'!$G$9),1),0),"Ok",IF(I95="","Check","Ok"))</f>
        <v>Ok</v>
      </c>
    </row>
    <row r="96" spans="3:22" ht="10.15">
      <c r="C96" s="194">
        <v>47118</v>
      </c>
      <c r="D96" s="8"/>
      <c r="E96" s="8"/>
      <c r="F96" s="190" t="s">
        <v>59</v>
      </c>
      <c r="G96" s="110">
        <v>2.5000000000000001E-2</v>
      </c>
      <c r="H96" s="117">
        <f>IF(F96="",IF(COUNT(G96:G$100)=0,"",IF(ISBLANK(G96),AVERAGE(H95,H97),(1+G96)*H92)),F96)</f>
        <v>156.12856770649998</v>
      </c>
      <c r="I96" s="72">
        <f t="shared" si="5"/>
        <v>2.4999999999999911E-2</v>
      </c>
      <c r="J96" s="116" t="s">
        <v>61</v>
      </c>
      <c r="K96" s="8"/>
      <c r="L96" s="8"/>
      <c r="V96" s="81" t="str">
        <f>IF(C96&gt;EOMONTH(DATE('Input|General'!$G$12,MONTH('Input|General'!$G$9),1),0),"Ok",IF(I96="","Check","Ok"))</f>
        <v>Ok</v>
      </c>
    </row>
    <row r="97" spans="1:50" ht="10.15">
      <c r="C97" s="194">
        <v>47208</v>
      </c>
      <c r="D97" s="8"/>
      <c r="E97" s="8"/>
      <c r="F97" s="190" t="s">
        <v>59</v>
      </c>
      <c r="G97" s="110"/>
      <c r="H97" s="117">
        <f>IF(F97="",IF(COUNT(G97:G$100)=0,"",IF(ISBLANK(G97),AVERAGE(H96,H98),(1+G97)*H93)),F97)</f>
        <v>157.19722340499399</v>
      </c>
      <c r="I97" s="72">
        <f t="shared" si="5"/>
        <v>2.4999999999999911E-2</v>
      </c>
      <c r="J97" s="196"/>
      <c r="K97" s="8"/>
      <c r="L97" s="8"/>
      <c r="V97" s="81" t="str">
        <f>IF(C97&gt;EOMONTH(DATE('Input|General'!$G$12,MONTH('Input|General'!$G$9),1),0),"Ok",IF(I97="","Check","Ok"))</f>
        <v>Ok</v>
      </c>
    </row>
    <row r="98" spans="1:50" ht="10.15">
      <c r="C98" s="194">
        <v>47299</v>
      </c>
      <c r="D98" s="8"/>
      <c r="E98" s="8"/>
      <c r="F98" s="190" t="s">
        <v>59</v>
      </c>
      <c r="G98" s="110">
        <v>2.5000000000000001E-2</v>
      </c>
      <c r="H98" s="117">
        <f>IF(F98="",IF(COUNT(G98:G$100)=0,"",IF(ISBLANK(G98),AVERAGE(H97,H99),(1+G98)*H94)),F98)</f>
        <v>158.265879103488</v>
      </c>
      <c r="I98" s="72">
        <f t="shared" si="5"/>
        <v>2.4999999999999911E-2</v>
      </c>
      <c r="J98" s="116" t="s">
        <v>61</v>
      </c>
      <c r="K98" s="8"/>
      <c r="L98" s="8"/>
      <c r="V98" s="81" t="str">
        <f>IF(C98&gt;EOMONTH(DATE('Input|General'!$G$12,MONTH('Input|General'!$G$9),1),0),"Ok",IF(I98="","Check","Ok"))</f>
        <v>Ok</v>
      </c>
    </row>
    <row r="99" spans="1:50" ht="10.15">
      <c r="C99" s="194">
        <v>47391</v>
      </c>
      <c r="D99" s="8"/>
      <c r="E99" s="8"/>
      <c r="F99" s="190" t="s">
        <v>59</v>
      </c>
      <c r="G99" s="110"/>
      <c r="H99" s="117">
        <f>IF(F99="",IF(COUNT(G99:G$100)=0,"",IF(ISBLANK(G99),AVERAGE(H98,H100),(1+G99)*H95)),F99)</f>
        <v>159.14883050132522</v>
      </c>
      <c r="I99" s="72">
        <f t="shared" si="5"/>
        <v>2.4999999999999689E-2</v>
      </c>
      <c r="J99" s="196"/>
      <c r="K99" s="8"/>
      <c r="L99" s="8"/>
      <c r="V99" s="81" t="str">
        <f>IF(C99&gt;EOMONTH(DATE('Input|General'!$G$12,MONTH('Input|General'!$G$9),1),0),"Ok",IF(I99="","Check","Ok"))</f>
        <v>Ok</v>
      </c>
    </row>
    <row r="100" spans="1:50" ht="10.15">
      <c r="C100" s="194">
        <v>47483</v>
      </c>
      <c r="D100" s="8"/>
      <c r="E100" s="8"/>
      <c r="F100" s="190" t="s">
        <v>59</v>
      </c>
      <c r="G100" s="110">
        <v>2.5000000000000001E-2</v>
      </c>
      <c r="H100" s="117">
        <f>IF(F100="",IF(COUNT(G100:G$100)=0,"",IF(ISBLANK(G100),AVERAGE(H99,H101),(1+G100)*H96)),F100)</f>
        <v>160.03178189916247</v>
      </c>
      <c r="I100" s="72">
        <f t="shared" si="5"/>
        <v>2.4999999999999911E-2</v>
      </c>
      <c r="J100" s="116" t="s">
        <v>61</v>
      </c>
      <c r="K100" s="8"/>
      <c r="L100" s="8"/>
      <c r="V100" s="81" t="str">
        <f>IF(C100&gt;EOMONTH(DATE('Input|General'!$G$12,MONTH('Input|General'!$G$9),1),0),"Ok",IF(I100="","Check","Ok"))</f>
        <v>Ok</v>
      </c>
    </row>
    <row r="101" spans="1:50" ht="10.15">
      <c r="F101" s="8"/>
      <c r="G101" s="8"/>
      <c r="H101" s="8"/>
      <c r="I101" s="8"/>
      <c r="J101" s="196"/>
      <c r="K101" s="8"/>
      <c r="L101" s="8"/>
      <c r="V101" s="82"/>
    </row>
    <row r="102" spans="1:50" customFormat="1" ht="13.15">
      <c r="A102" s="32"/>
      <c r="B102" s="38" t="s">
        <v>23</v>
      </c>
      <c r="C102" s="32"/>
      <c r="D102" s="32"/>
      <c r="E102" s="32"/>
      <c r="F102" s="32"/>
      <c r="G102" s="32"/>
      <c r="H102" s="32"/>
      <c r="I102" s="33"/>
      <c r="J102" s="33"/>
      <c r="K102" s="33"/>
      <c r="L102" s="33"/>
      <c r="M102" s="34"/>
      <c r="N102" s="35"/>
      <c r="O102" s="34"/>
      <c r="P102" s="35"/>
      <c r="Q102" s="34"/>
      <c r="R102" s="34"/>
      <c r="S102" s="34"/>
      <c r="T102" s="34"/>
      <c r="U102" s="34"/>
      <c r="V102" s="34"/>
      <c r="W102" s="34"/>
      <c r="X102" s="34"/>
      <c r="Y102" s="35"/>
      <c r="Z102" s="35"/>
      <c r="AA102" s="36"/>
      <c r="AB102" s="36"/>
      <c r="AC102" s="36"/>
      <c r="AD102" s="36"/>
      <c r="AE102" s="36"/>
      <c r="AF102" s="37"/>
      <c r="AG102" s="37"/>
    </row>
    <row r="103" spans="1:50" ht="10.15" hidden="1">
      <c r="J103" s="20"/>
      <c r="K103" s="20"/>
    </row>
    <row r="104" spans="1:50" ht="10.15" hidden="1">
      <c r="J104" s="20"/>
      <c r="K104" s="20"/>
    </row>
    <row r="105" spans="1:50" s="16" customFormat="1" ht="10.15" hidden="1">
      <c r="A105" s="8"/>
      <c r="B105" s="8"/>
      <c r="C105" s="8"/>
      <c r="J105" s="20"/>
      <c r="K105" s="2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s="16" customFormat="1" ht="10.15" hidden="1">
      <c r="A106" s="8"/>
      <c r="B106" s="8"/>
      <c r="C106" s="8"/>
      <c r="J106" s="20"/>
      <c r="K106" s="2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s="16" customFormat="1" ht="10.15" hidden="1">
      <c r="A107" s="8"/>
      <c r="B107" s="8"/>
      <c r="C107" s="8"/>
      <c r="J107" s="20"/>
      <c r="K107" s="2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s="16" customFormat="1" ht="10.15" hidden="1">
      <c r="A108" s="8"/>
      <c r="B108" s="8"/>
      <c r="C108" s="8"/>
      <c r="J108" s="20"/>
      <c r="K108" s="2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s="16" customFormat="1" ht="10.15" hidden="1">
      <c r="A109" s="8"/>
      <c r="B109" s="8"/>
      <c r="C109" s="8"/>
      <c r="J109" s="20"/>
      <c r="K109" s="2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s="16" customFormat="1" ht="10.15" hidden="1">
      <c r="A110" s="8"/>
      <c r="B110" s="8"/>
      <c r="C110" s="8"/>
      <c r="J110" s="20"/>
      <c r="K110" s="2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s="16" customFormat="1" ht="10.15" hidden="1">
      <c r="A111" s="8"/>
      <c r="B111" s="8"/>
      <c r="C111" s="8"/>
      <c r="J111" s="20"/>
      <c r="K111" s="2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s="16" customFormat="1" ht="10.15" hidden="1">
      <c r="A112" s="8"/>
      <c r="B112" s="8"/>
      <c r="C112" s="8"/>
      <c r="J112" s="20"/>
      <c r="K112" s="2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conditionalFormatting sqref="G21:G100">
    <cfRule type="expression" dxfId="155" priority="2">
      <formula>F21=""</formula>
    </cfRule>
  </conditionalFormatting>
  <conditionalFormatting sqref="V1">
    <cfRule type="cellIs" dxfId="154" priority="7" operator="equal">
      <formula>"Check"</formula>
    </cfRule>
    <cfRule type="cellIs" dxfId="153" priority="8" operator="equal">
      <formula>"Ok"</formula>
    </cfRule>
  </conditionalFormatting>
  <conditionalFormatting sqref="V9:V100">
    <cfRule type="cellIs" dxfId="152" priority="13" operator="equal">
      <formula>"Check"</formula>
    </cfRule>
    <cfRule type="cellIs" dxfId="151" priority="14" operator="equal">
      <formula>"Ok"</formula>
    </cfRule>
  </conditionalFormatting>
  <conditionalFormatting sqref="Y1">
    <cfRule type="cellIs" dxfId="150" priority="9" operator="equal">
      <formula>"Check"</formula>
    </cfRule>
    <cfRule type="cellIs" dxfId="149" priority="10" operator="equal">
      <formula>"Ok"</formula>
    </cfRule>
  </conditionalFormatting>
  <dataValidations count="4">
    <dataValidation type="list" allowBlank="1" showInputMessage="1" showErrorMessage="1" sqref="I101" xr:uid="{00000000-0002-0000-0300-000000000000}">
      <formula1>"Real 2010,Real 2011,Real 2012,Real 2013,Real 2014,Real 2015,Nominal"</formula1>
    </dataValidation>
    <dataValidation type="list" allowBlank="1" showInputMessage="1" showErrorMessage="1" sqref="L101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100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2" r:id="rId1" location="3-5-detailed-forecast-information" display="https://www.rba.gov.au/publications/smp/2025/feb/outlook.html - 3-5-detailed-forecast-information" xr:uid="{D1B998A8-B0A4-411E-8E5C-3A61000B5C5F}"/>
    <hyperlink ref="J84" r:id="rId2" location="3-5-detailed-forecast-information" display="https://www.rba.gov.au/publications/smp/2025/feb/outlook.html - 3-5-detailed-forecast-information" xr:uid="{A87CA79F-ABB4-4956-BC7F-500B9DEF1E12}"/>
    <hyperlink ref="J86" r:id="rId3" location="3-5-detailed-forecast-information" display="https://www.rba.gov.au/publications/smp/2025/feb/outlook.html - 3-5-detailed-forecast-information" xr:uid="{BB049522-EB6C-4637-9F20-6D5943AF1E41}"/>
    <hyperlink ref="J88" r:id="rId4" location="3-5-detailed-forecast-information" display="https://www.rba.gov.au/publications/smp/2025/feb/outlook.html - 3-5-detailed-forecast-information" xr:uid="{3789A7A3-2E13-451D-88E6-D58F87FC4E5E}"/>
    <hyperlink ref="J90" r:id="rId5" location="3-5-detailed-forecast-information" display="https://www.rba.gov.au/publications/smp/2025/feb/outlook.html - 3-5-detailed-forecast-information" xr:uid="{0F087538-5593-4604-9044-364F1E1663E7}"/>
  </hyperlinks>
  <pageMargins left="0.7" right="0.7" top="0.75" bottom="0.75" header="0.3" footer="0.3"/>
  <pageSetup paperSize="9" orientation="portrait" verticalDpi="4" r:id="rId6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30" zoomScaleNormal="100" workbookViewId="0">
      <selection activeCell="P81" sqref="P81"/>
    </sheetView>
  </sheetViews>
  <sheetFormatPr defaultColWidth="0" defaultRowHeight="10.1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183" t="s">
        <v>24</v>
      </c>
      <c r="M1" s="28" t="s">
        <v>25</v>
      </c>
      <c r="N1" s="46" t="s">
        <v>26</v>
      </c>
      <c r="O1" s="11" t="s">
        <v>27</v>
      </c>
      <c r="P1" s="12" t="s">
        <v>28</v>
      </c>
      <c r="S1" s="28" t="s">
        <v>29</v>
      </c>
      <c r="T1" s="29" t="str">
        <f>IF(COUNTIF(X5:X108,"Check")=0,"Ok","Check")</f>
        <v>Ok</v>
      </c>
      <c r="U1" s="29"/>
      <c r="W1" s="184" t="s">
        <v>30</v>
      </c>
      <c r="X1" s="29" t="str">
        <f>'Check|List'!$S$1</f>
        <v>Ok</v>
      </c>
    </row>
    <row r="2" spans="1:34" s="31" customFormat="1" ht="13.9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41</v>
      </c>
      <c r="K3" s="218"/>
      <c r="L3" s="218"/>
      <c r="M3" s="218"/>
      <c r="N3" s="105"/>
      <c r="O3" s="218"/>
      <c r="P3" s="218"/>
      <c r="Q3" s="218"/>
      <c r="R3" s="218"/>
      <c r="S3" s="218"/>
      <c r="T3" s="218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33</v>
      </c>
      <c r="E4" s="56" t="s">
        <v>56</v>
      </c>
      <c r="F4" s="144" t="s">
        <v>62</v>
      </c>
      <c r="G4" s="145"/>
      <c r="H4" s="145"/>
      <c r="I4" s="145"/>
      <c r="J4" s="94">
        <f>DATE(PPFirstYear-1,MONTH('Input|General'!$G$9),1)</f>
        <v>44348</v>
      </c>
      <c r="K4" s="94">
        <f>DATE(PPFirstYear,MONTH('Input|General'!$G$9),1)</f>
        <v>44713</v>
      </c>
      <c r="L4" s="94">
        <f>DATE(PPFirstYear+1,MONTH('Input|General'!$G$9),1)</f>
        <v>45078</v>
      </c>
      <c r="M4" s="94">
        <f>DATE(PPFirstYear+2,MONTH('Input|General'!$G$9),1)</f>
        <v>45444</v>
      </c>
      <c r="N4" s="94">
        <f>DATE(PPFirstYear+3,MONTH('Input|General'!$G$9),1)</f>
        <v>45809</v>
      </c>
      <c r="O4" s="94">
        <f>DATE(PPFirstYear+4,MONTH('Input|General'!$G$9),1)</f>
        <v>46174</v>
      </c>
      <c r="P4" s="94">
        <f>DATE(PPFirstYear+5,MONTH('Input|General'!$G$9),1)</f>
        <v>46539</v>
      </c>
      <c r="Q4" s="94">
        <f>DATE(PPFirstYear+6,MONTH('Input|General'!$G$9),1)</f>
        <v>46905</v>
      </c>
      <c r="R4" s="94">
        <f>DATE(PPFirstYear+7,MONTH('Input|General'!$G$9),1)</f>
        <v>47270</v>
      </c>
      <c r="S4" s="94">
        <f>DATE(PPFirstYear+8,MONTH('Input|General'!$G$9),1)</f>
        <v>47635</v>
      </c>
      <c r="T4" s="94">
        <f>DATE(PPFirstYear+9,MONTH('Input|General'!$G$9),1)</f>
        <v>48000</v>
      </c>
      <c r="U4" s="94">
        <f>DATE(PPFirstYear+10,MONTH('Input|General'!$G$9),1)</f>
        <v>48366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34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34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7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34" customFormat="1" ht="13.15">
      <c r="A8" s="32"/>
      <c r="B8" s="38" t="s">
        <v>7</v>
      </c>
      <c r="C8" s="32"/>
      <c r="D8" s="32"/>
      <c r="E8" s="32"/>
      <c r="F8" s="118"/>
      <c r="G8" s="118"/>
      <c r="H8" s="118"/>
      <c r="I8" s="118"/>
      <c r="J8" s="118"/>
      <c r="K8" s="34"/>
      <c r="L8" s="119"/>
      <c r="M8" s="34"/>
      <c r="N8" s="119"/>
      <c r="O8" s="34"/>
      <c r="P8" s="34"/>
      <c r="Q8" s="34"/>
      <c r="R8" s="34"/>
      <c r="S8" s="34"/>
      <c r="T8" s="34"/>
      <c r="U8" s="34"/>
      <c r="V8" s="34"/>
      <c r="W8" s="34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7"/>
      <c r="B9" s="17"/>
      <c r="C9" s="17"/>
      <c r="D9" s="120"/>
      <c r="E9" s="120"/>
      <c r="F9" s="120"/>
      <c r="G9" s="120"/>
      <c r="H9" s="120"/>
      <c r="I9" s="120"/>
      <c r="J9" s="1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4" ht="11.25" customHeight="1" outlineLevel="1">
      <c r="A10" s="17"/>
      <c r="B10" s="17"/>
      <c r="C10" s="122" t="s">
        <v>63</v>
      </c>
      <c r="D10" s="120"/>
      <c r="E10" s="120"/>
      <c r="F10" s="120"/>
      <c r="G10" s="120"/>
      <c r="H10" s="120"/>
      <c r="I10" s="120"/>
      <c r="J10" s="123">
        <f t="shared" ref="J10:T10" si="0">IF(YEAR(J$4)&lt;=PPLastYear,J$4,"")</f>
        <v>44348</v>
      </c>
      <c r="K10" s="123">
        <f t="shared" si="0"/>
        <v>44713</v>
      </c>
      <c r="L10" s="123">
        <f t="shared" si="0"/>
        <v>45078</v>
      </c>
      <c r="M10" s="123">
        <f t="shared" si="0"/>
        <v>45444</v>
      </c>
      <c r="N10" s="123">
        <f t="shared" si="0"/>
        <v>45809</v>
      </c>
      <c r="O10" s="123">
        <f t="shared" si="0"/>
        <v>46174</v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 t="str">
        <f t="shared" si="0"/>
        <v/>
      </c>
      <c r="U10" s="138"/>
      <c r="V10" s="17"/>
      <c r="W10" s="17"/>
    </row>
    <row r="11" spans="1:34" ht="11.25" customHeight="1" outlineLevel="1">
      <c r="A11" s="17"/>
      <c r="B11" s="17"/>
      <c r="C11" s="122"/>
      <c r="D11" s="120"/>
      <c r="E11" s="120"/>
      <c r="F11" s="120"/>
      <c r="G11" s="120"/>
      <c r="H11" s="120"/>
      <c r="I11" s="120"/>
      <c r="J11" s="17"/>
      <c r="K11" s="17"/>
      <c r="L11" s="17"/>
      <c r="M11" s="17"/>
      <c r="N11" s="17"/>
      <c r="O11" s="17"/>
      <c r="P11" s="148"/>
      <c r="Q11" s="148"/>
      <c r="R11" s="148"/>
      <c r="S11" s="148"/>
      <c r="T11" s="148"/>
      <c r="U11" s="148"/>
      <c r="V11" s="149"/>
      <c r="W11" s="149"/>
      <c r="X11" s="14"/>
    </row>
    <row r="12" spans="1:34" ht="11.25" customHeight="1" outlineLevel="1">
      <c r="A12" s="17"/>
      <c r="B12" s="17"/>
      <c r="C12" s="125" t="s">
        <v>63</v>
      </c>
      <c r="D12" s="150" t="s">
        <v>64</v>
      </c>
      <c r="E12" s="120" t="str">
        <f>percent</f>
        <v>Per cent</v>
      </c>
      <c r="F12" s="120"/>
      <c r="G12" s="120"/>
      <c r="H12" s="120"/>
      <c r="I12" s="120"/>
      <c r="J12" s="148">
        <f>IF(J10=J4,LOOKUP(EOMONTH(J4,0),'Input|Inflation'!$C$9:$C$100,'Input|Inflation'!$I$9:$I$100),"")</f>
        <v>3.8461538461538325E-2</v>
      </c>
      <c r="K12" s="148">
        <f>IF(K10=K4,LOOKUP(EOMONTH(K4,0),'Input|Inflation'!$C$9:$C$100,'Input|Inflation'!$I$9:$I$100),"")</f>
        <v>6.1447811447811418E-2</v>
      </c>
      <c r="L12" s="148">
        <f>IF(L10=L4,LOOKUP(EOMONTH(L4,0),'Input|Inflation'!$C$9:$C$100,'Input|Inflation'!$I$9:$I$100),"")</f>
        <v>6.0269627279936566E-2</v>
      </c>
      <c r="M12" s="148">
        <f>IF(M10=M4,LOOKUP(EOMONTH(M4,0),'Input|Inflation'!$C$9:$C$100,'Input|Inflation'!$I$9:$I$100),"")</f>
        <v>3.8145100972326373E-2</v>
      </c>
      <c r="N12" s="148">
        <f>IF(N10=N4,LOOKUP(EOMONTH(N4,0),'Input|Inflation'!$C$9:$C$100,'Input|Inflation'!$I$9:$I$100),"")</f>
        <v>2.4000000000000021E-2</v>
      </c>
      <c r="O12" s="148">
        <f>IF(O10=O4,LOOKUP(EOMONTH(O4,0),'Input|Inflation'!$C$9:$C$100,'Input|Inflation'!$I$9:$I$100),"")</f>
        <v>3.2000000000000028E-2</v>
      </c>
      <c r="P12" s="148" t="str">
        <f>IF(P10=P4,LOOKUP(EOMONTH(P4,0),'Input|Inflation'!$C$9:$C$84,'Input|Inflation'!$I$9:$I$84),"")</f>
        <v/>
      </c>
      <c r="Q12" s="148" t="str">
        <f>IF(Q10=Q4,LOOKUP(EOMONTH(Q4,0),'Input|Inflation'!$C$9:$C$84,'Input|Inflation'!$I$9:$I$84),"")</f>
        <v/>
      </c>
      <c r="R12" s="148" t="str">
        <f>IF(R10=R4,LOOKUP(EOMONTH(R4,0),'Input|Inflation'!$C$9:$C$84,'Input|Inflation'!$I$9:$I$84),"")</f>
        <v/>
      </c>
      <c r="S12" s="148" t="str">
        <f>IF(S10=S4,LOOKUP(EOMONTH(S4,0),'Input|Inflation'!$C$9:$C$84,'Input|Inflation'!$I$9:$I$84),"")</f>
        <v/>
      </c>
      <c r="T12" s="148" t="str">
        <f>IF(T10=T4,LOOKUP(EOMONTH(T4,0),'Input|Inflation'!$C$9:$C$84,'Input|Inflation'!$I$9:$I$84),"")</f>
        <v/>
      </c>
      <c r="U12" s="148"/>
      <c r="V12" s="151"/>
      <c r="W12" s="17"/>
    </row>
    <row r="13" spans="1:34" ht="11.25" customHeight="1" outlineLevel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4" ht="11.25" customHeight="1" outlineLevel="1">
      <c r="A14" s="17"/>
      <c r="B14" s="17"/>
      <c r="C14" s="122" t="s">
        <v>65</v>
      </c>
      <c r="D14" s="120"/>
      <c r="E14" s="120"/>
      <c r="F14" s="120"/>
      <c r="G14" s="120"/>
      <c r="H14" s="120"/>
      <c r="I14" s="17"/>
      <c r="J14" s="123">
        <f t="shared" ref="J14:T14" si="1">IF(YEAR(J$4)&lt;=PPLastYear,J$4,"")</f>
        <v>44348</v>
      </c>
      <c r="K14" s="123">
        <f t="shared" si="1"/>
        <v>44713</v>
      </c>
      <c r="L14" s="123">
        <f t="shared" si="1"/>
        <v>45078</v>
      </c>
      <c r="M14" s="123">
        <f t="shared" si="1"/>
        <v>45444</v>
      </c>
      <c r="N14" s="123">
        <f t="shared" si="1"/>
        <v>45809</v>
      </c>
      <c r="O14" s="123">
        <f t="shared" si="1"/>
        <v>46174</v>
      </c>
      <c r="P14" s="123" t="str">
        <f t="shared" si="1"/>
        <v/>
      </c>
      <c r="Q14" s="123" t="str">
        <f t="shared" si="1"/>
        <v/>
      </c>
      <c r="R14" s="123" t="str">
        <f t="shared" si="1"/>
        <v/>
      </c>
      <c r="S14" s="123" t="str">
        <f t="shared" si="1"/>
        <v/>
      </c>
      <c r="T14" s="123" t="str">
        <f t="shared" si="1"/>
        <v/>
      </c>
      <c r="U14" s="138"/>
      <c r="V14" s="17"/>
      <c r="W14" s="17"/>
    </row>
    <row r="15" spans="1:34" ht="11.25" customHeight="1" outlineLevel="1">
      <c r="A15" s="17"/>
      <c r="B15" s="17"/>
      <c r="C15" s="122"/>
      <c r="D15" s="120"/>
      <c r="E15" s="120"/>
      <c r="F15" s="120"/>
      <c r="G15" s="120"/>
      <c r="H15" s="120"/>
      <c r="I15" s="17"/>
      <c r="J15" s="149"/>
      <c r="K15" s="149"/>
      <c r="L15" s="149"/>
      <c r="M15" s="149"/>
      <c r="N15" s="149"/>
      <c r="O15" s="149"/>
      <c r="P15" s="152"/>
      <c r="Q15" s="152"/>
      <c r="R15" s="152"/>
      <c r="S15" s="152"/>
      <c r="T15" s="152"/>
      <c r="U15" s="152"/>
      <c r="V15" s="17"/>
      <c r="W15" s="17"/>
    </row>
    <row r="16" spans="1:34" ht="11.25" customHeight="1" outlineLevel="1">
      <c r="A16" s="17"/>
      <c r="B16" s="17"/>
      <c r="C16" s="153">
        <f t="array" ref="C16:C22">TRANSPOSE(J10:P10)</f>
        <v>44348</v>
      </c>
      <c r="D16" s="150" t="str">
        <f t="shared" ref="D16:D20" si="2">IF(ISNONTEXT($C16),"calculated","")</f>
        <v>calculated</v>
      </c>
      <c r="E16" s="120" t="str">
        <f>IF(ISNONTEXT($C16),"index","")</f>
        <v>index</v>
      </c>
      <c r="F16" s="120"/>
      <c r="G16" s="120"/>
      <c r="H16" s="120"/>
      <c r="I16" s="120"/>
      <c r="J16" s="154">
        <f t="shared" ref="J16:N16" si="3">IF(AND($C16&gt;J$14,ISNONTEXT($C16)),K16/(1+K$12),IF(AND($C16=J$14,J$14=J$4),1,IF(AND($C16&lt;J$14,J$14=J$4),I16*(1+J$12),0)))</f>
        <v>1</v>
      </c>
      <c r="K16" s="154">
        <f t="shared" si="3"/>
        <v>1.0614478114478114</v>
      </c>
      <c r="L16" s="154">
        <f t="shared" si="3"/>
        <v>1.1254208754208754</v>
      </c>
      <c r="M16" s="154">
        <f t="shared" si="3"/>
        <v>1.1683501683501687</v>
      </c>
      <c r="N16" s="154">
        <f t="shared" si="3"/>
        <v>1.1963905723905728</v>
      </c>
      <c r="O16" s="154">
        <f t="shared" ref="O16:P16" si="4">IF(AND($C16&gt;O$14,ISNONTEXT($C16)),P16/(1+O$12),IF(AND($C16=O$14,O$14=O$4),1,IF(AND($C16&lt;O$14,O$14=O$4),N16*(1+O$12),0)))</f>
        <v>1.2346750707070711</v>
      </c>
      <c r="P16" s="154">
        <f t="shared" si="4"/>
        <v>0</v>
      </c>
      <c r="Q16" s="155"/>
      <c r="R16" s="155"/>
      <c r="S16" s="155"/>
      <c r="T16" s="155"/>
      <c r="U16" s="155"/>
      <c r="V16" s="17"/>
      <c r="W16" s="17"/>
    </row>
    <row r="17" spans="1:23" ht="11.25" customHeight="1" outlineLevel="1">
      <c r="A17" s="17"/>
      <c r="B17" s="17"/>
      <c r="C17" s="153">
        <v>44713</v>
      </c>
      <c r="D17" s="150" t="str">
        <f t="shared" si="2"/>
        <v>calculated</v>
      </c>
      <c r="E17" s="120" t="str">
        <f t="shared" ref="E17:E22" si="5">IF(ISNONTEXT($C17),"index","")</f>
        <v>index</v>
      </c>
      <c r="F17" s="120"/>
      <c r="G17" s="120"/>
      <c r="H17" s="120"/>
      <c r="I17" s="154"/>
      <c r="J17" s="154">
        <f t="shared" ref="J17:N17" si="6">IF(AND($C17&gt;J$14,ISNONTEXT($C17)),K17/(1+K$12),IF(AND($C17=J$14,J$14=J$4),1,IF(AND($C17&lt;J$14,J$14=J$4),I17*(1+J$12),0)))</f>
        <v>0.94210943695479776</v>
      </c>
      <c r="K17" s="154">
        <f t="shared" si="6"/>
        <v>1</v>
      </c>
      <c r="L17" s="154">
        <f t="shared" si="6"/>
        <v>1.0602696272799366</v>
      </c>
      <c r="M17" s="154">
        <f t="shared" si="6"/>
        <v>1.1007137192704206</v>
      </c>
      <c r="N17" s="154">
        <f t="shared" si="6"/>
        <v>1.1271308485329108</v>
      </c>
      <c r="O17" s="154">
        <f t="shared" ref="O17:P17" si="7">IF(AND($C17&gt;O$14,ISNONTEXT($C17)),P17/(1+O$12),IF(AND($C17=O$14,O$14=O$4),1,IF(AND($C17&lt;O$14,O$14=O$4),N17*(1+O$12),0)))</f>
        <v>1.1631990356859641</v>
      </c>
      <c r="P17" s="154">
        <f t="shared" si="7"/>
        <v>0</v>
      </c>
      <c r="Q17" s="155"/>
      <c r="R17" s="155"/>
      <c r="S17" s="155"/>
      <c r="T17" s="155"/>
      <c r="U17" s="155"/>
      <c r="V17" s="17"/>
      <c r="W17" s="17"/>
    </row>
    <row r="18" spans="1:23" ht="11.25" customHeight="1" outlineLevel="1">
      <c r="A18" s="17"/>
      <c r="B18" s="17"/>
      <c r="C18" s="153">
        <v>45078</v>
      </c>
      <c r="D18" s="150" t="str">
        <f t="shared" si="2"/>
        <v>calculated</v>
      </c>
      <c r="E18" s="120" t="str">
        <f t="shared" si="5"/>
        <v>index</v>
      </c>
      <c r="F18" s="120"/>
      <c r="G18" s="120"/>
      <c r="H18" s="120"/>
      <c r="I18" s="154"/>
      <c r="J18" s="154">
        <f t="shared" ref="J18:N18" si="8">IF(AND($C18&gt;J$14,ISNONTEXT($C18)),K18/(1+K$12),IF(AND($C18=J$14,J$14=J$4),1,IF(AND($C18&lt;J$14,J$14=J$4),I18*(1+J$12),0)))</f>
        <v>0.88855646970830215</v>
      </c>
      <c r="K18" s="154">
        <f t="shared" si="8"/>
        <v>0.94315632011967088</v>
      </c>
      <c r="L18" s="154">
        <f t="shared" si="8"/>
        <v>1</v>
      </c>
      <c r="M18" s="154">
        <f t="shared" si="8"/>
        <v>1.0381451009723264</v>
      </c>
      <c r="N18" s="154">
        <f t="shared" si="8"/>
        <v>1.0630605833956621</v>
      </c>
      <c r="O18" s="154">
        <f t="shared" ref="O18:P18" si="9">IF(AND($C18&gt;O$14,ISNONTEXT($C18)),P18/(1+O$12),IF(AND($C18=O$14,O$14=O$4),1,IF(AND($C18&lt;O$14,O$14=O$4),N18*(1+O$12),0)))</f>
        <v>1.0970785220643233</v>
      </c>
      <c r="P18" s="154">
        <f t="shared" si="9"/>
        <v>0</v>
      </c>
      <c r="Q18" s="155"/>
      <c r="R18" s="155"/>
      <c r="S18" s="155"/>
      <c r="T18" s="155"/>
      <c r="U18" s="155"/>
      <c r="V18" s="17"/>
      <c r="W18" s="17"/>
    </row>
    <row r="19" spans="1:23" ht="11.25" customHeight="1" outlineLevel="1">
      <c r="A19" s="17"/>
      <c r="B19" s="17"/>
      <c r="C19" s="153">
        <v>45444</v>
      </c>
      <c r="D19" s="150" t="str">
        <f t="shared" si="2"/>
        <v>calculated</v>
      </c>
      <c r="E19" s="120" t="str">
        <f t="shared" si="5"/>
        <v>index</v>
      </c>
      <c r="F19" s="120"/>
      <c r="G19" s="120"/>
      <c r="H19" s="120"/>
      <c r="I19" s="154"/>
      <c r="J19" s="154">
        <f t="shared" ref="J19:N19" si="10">IF(AND($C19&gt;J$14,ISNONTEXT($C19)),K19/(1+K$12),IF(AND($C19=J$14,J$14=J$4),1,IF(AND($C19&lt;J$14,J$14=J$4),I19*(1+J$12),0)))</f>
        <v>0.85590778097982689</v>
      </c>
      <c r="K19" s="154">
        <f t="shared" si="10"/>
        <v>0.90850144092218998</v>
      </c>
      <c r="L19" s="154">
        <f t="shared" si="10"/>
        <v>0.96325648414985565</v>
      </c>
      <c r="M19" s="154">
        <f t="shared" si="10"/>
        <v>1</v>
      </c>
      <c r="N19" s="154">
        <f t="shared" si="10"/>
        <v>1.024</v>
      </c>
      <c r="O19" s="154">
        <f t="shared" ref="O19:P19" si="11">IF(AND($C19&gt;O$14,ISNONTEXT($C19)),P19/(1+O$12),IF(AND($C19=O$14,O$14=O$4),1,IF(AND($C19&lt;O$14,O$14=O$4),N19*(1+O$12),0)))</f>
        <v>1.0567680000000002</v>
      </c>
      <c r="P19" s="154">
        <f t="shared" si="11"/>
        <v>0</v>
      </c>
      <c r="Q19" s="155"/>
      <c r="R19" s="155"/>
      <c r="S19" s="155"/>
      <c r="T19" s="155"/>
      <c r="U19" s="155"/>
      <c r="V19" s="17"/>
      <c r="W19" s="17"/>
    </row>
    <row r="20" spans="1:23" ht="11.25" customHeight="1" outlineLevel="1">
      <c r="A20" s="17"/>
      <c r="B20" s="17"/>
      <c r="C20" s="153">
        <v>45809</v>
      </c>
      <c r="D20" s="150" t="str">
        <f t="shared" si="2"/>
        <v>calculated</v>
      </c>
      <c r="E20" s="120" t="str">
        <f t="shared" si="5"/>
        <v>index</v>
      </c>
      <c r="F20" s="120"/>
      <c r="G20" s="120"/>
      <c r="H20" s="120"/>
      <c r="I20" s="154"/>
      <c r="J20" s="154">
        <f>IF(AND($C20&gt;J$14,ISNONTEXT($C20)),K20/(1+K$12),IF(AND($C20=J$14,J$14=J$4),1,IF(AND($C20&lt;J$14,J$14=J$4),I20*(1+J$12),0)))</f>
        <v>0.83584744236311215</v>
      </c>
      <c r="K20" s="154">
        <f t="shared" ref="K20:N20" si="12">IF(AND($C20&gt;K$14,ISNONTEXT($C20)),L20/(1+L$12),IF(AND($C20=K$14,K$14=K$4),1,IF(AND($C20&lt;K$14,K$14=K$4),J20*(1+K$12),0)))</f>
        <v>0.88720843840057606</v>
      </c>
      <c r="L20" s="154">
        <f t="shared" si="12"/>
        <v>0.94068016030259338</v>
      </c>
      <c r="M20" s="154">
        <f t="shared" si="12"/>
        <v>0.9765625</v>
      </c>
      <c r="N20" s="154">
        <f t="shared" si="12"/>
        <v>1</v>
      </c>
      <c r="O20" s="154">
        <f t="shared" ref="O20:P20" si="13">IF(AND($C20&gt;O$14,ISNONTEXT($C20)),P20/(1+O$12),IF(AND($C20=O$14,O$14=O$4),1,IF(AND($C20&lt;O$14,O$14=O$4),N20*(1+O$12),0)))</f>
        <v>1.032</v>
      </c>
      <c r="P20" s="154">
        <f t="shared" si="13"/>
        <v>0</v>
      </c>
      <c r="Q20" s="155"/>
      <c r="R20" s="155"/>
      <c r="S20" s="155"/>
      <c r="T20" s="155"/>
      <c r="U20" s="155"/>
      <c r="V20" s="17"/>
      <c r="W20" s="17"/>
    </row>
    <row r="21" spans="1:23" ht="11.25" customHeight="1" outlineLevel="1">
      <c r="A21" s="17"/>
      <c r="B21" s="17"/>
      <c r="C21" s="153">
        <v>46174</v>
      </c>
      <c r="D21" s="150" t="str">
        <f>IF(ISNONTEXT($C21),"calculated","")</f>
        <v>calculated</v>
      </c>
      <c r="E21" s="120" t="str">
        <f t="shared" si="5"/>
        <v>index</v>
      </c>
      <c r="F21" s="120"/>
      <c r="G21" s="120"/>
      <c r="H21" s="120"/>
      <c r="I21" s="154"/>
      <c r="J21" s="154">
        <f>IF(AND($C21&gt;J$14,ISNONTEXT($C21)),K21/(1+K$12),IF(AND($C21=J$14,J$14=J$4),1,IF(AND($C21&lt;J$14,J$14=J$4),I21*(1+J$12),0)))</f>
        <v>0.80992969221231792</v>
      </c>
      <c r="K21" s="154">
        <f t="shared" ref="K21:K22" si="14">IF(AND($C21&gt;K$14,ISNONTEXT($C21)),L21/(1+L$12),IF(AND($C21=K$14,K$14=K$4),1,IF(AND($C21&lt;K$14,K$14=K$4),J21*(1+K$12),0)))</f>
        <v>0.85969809922536433</v>
      </c>
      <c r="L21" s="154">
        <f t="shared" ref="L21" si="15">IF(AND($C21&gt;L$14,ISNONTEXT($C21)),M21/(1+M$12),IF(AND($C21=L$14,L$14=L$4),1,IF(AND($C21&lt;L$14,L$14=L$4),K21*(1+L$12),0)))</f>
        <v>0.91151178323894699</v>
      </c>
      <c r="M21" s="154">
        <f t="shared" ref="M21" si="16">IF(AND($C21&gt;M$14,ISNONTEXT($C21)),N21/(1+N$12),IF(AND($C21=M$14,M$14=M$4),1,IF(AND($C21&lt;M$14,M$14=M$4),L21*(1+M$12),0)))</f>
        <v>0.94628149224806191</v>
      </c>
      <c r="N21" s="154">
        <f t="shared" ref="N21" si="17">IF(AND($C21&gt;N$14,ISNONTEXT($C21)),O21/(1+O$12),IF(AND($C21=N$14,N$14=N$4),1,IF(AND($C21&lt;N$14,N$14=N$4),M21*(1+N$12),0)))</f>
        <v>0.96899224806201545</v>
      </c>
      <c r="O21" s="154">
        <f t="shared" ref="O21:P21" si="18">IF(AND($C21&gt;O$14,ISNONTEXT($C21)),P21/(1+O$12),IF(AND($C21=O$14,O$14=O$4),1,IF(AND($C21&lt;O$14,O$14=O$4),N21*(1+O$12),0)))</f>
        <v>1</v>
      </c>
      <c r="P21" s="154">
        <f t="shared" si="18"/>
        <v>0</v>
      </c>
      <c r="Q21" s="155"/>
      <c r="R21" s="155"/>
      <c r="S21" s="155"/>
      <c r="T21" s="155"/>
      <c r="U21" s="155"/>
      <c r="V21" s="17"/>
      <c r="W21" s="17"/>
    </row>
    <row r="22" spans="1:23" ht="11.25" customHeight="1" outlineLevel="1">
      <c r="A22" s="17"/>
      <c r="B22" s="17"/>
      <c r="C22" s="153" t="str">
        <v/>
      </c>
      <c r="D22" s="150" t="str">
        <f>IF(ISNONTEXT($C22),"calculated","")</f>
        <v/>
      </c>
      <c r="E22" s="120" t="str">
        <f t="shared" si="5"/>
        <v/>
      </c>
      <c r="F22" s="120"/>
      <c r="G22" s="120"/>
      <c r="H22" s="120"/>
      <c r="I22" s="154"/>
      <c r="J22" s="154">
        <f>IF(AND($C22&gt;J$14,ISNONTEXT($C22)),K22/(1+K$12),IF(AND($C22=J$14,J$14=J$4),1,IF(AND($C22&lt;J$14,J$14=J$4),I22*(1+J$12),0)))</f>
        <v>0</v>
      </c>
      <c r="K22" s="154">
        <f t="shared" si="14"/>
        <v>0</v>
      </c>
      <c r="L22" s="154"/>
      <c r="M22" s="154"/>
      <c r="N22" s="154"/>
      <c r="O22" s="154">
        <f t="shared" ref="O22:P22" si="19">IF(AND($C22&gt;O$14,ISNONTEXT($C22)),P22/(1+P$12),IF(AND($C22=O$14,O$14=O$4),1,IF(AND($C22&lt;O$14,O$14=O$4),N22*(1+O$12),0)))</f>
        <v>0</v>
      </c>
      <c r="P22" s="154">
        <f t="shared" si="19"/>
        <v>0</v>
      </c>
      <c r="Q22" s="155"/>
      <c r="R22" s="155"/>
      <c r="S22" s="155"/>
      <c r="T22" s="155"/>
      <c r="U22" s="155"/>
      <c r="V22" s="17"/>
      <c r="W22" s="17"/>
    </row>
    <row r="23" spans="1:23" ht="11.25" customHeight="1" outlineLevel="1">
      <c r="A23" s="17"/>
      <c r="B23" s="17"/>
      <c r="C23" s="125"/>
      <c r="D23" s="120"/>
      <c r="E23" s="120"/>
      <c r="F23" s="120"/>
      <c r="G23" s="120"/>
      <c r="H23" s="120"/>
      <c r="I23" s="120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7"/>
      <c r="W23" s="17"/>
    </row>
    <row r="24" spans="1:23" ht="11.25" customHeight="1" outlineLevel="1">
      <c r="A24" s="17"/>
      <c r="B24" s="17"/>
      <c r="C24" s="122" t="s">
        <v>66</v>
      </c>
      <c r="D24" s="120"/>
      <c r="E24" s="120"/>
      <c r="F24" s="120"/>
      <c r="G24" s="120"/>
      <c r="H24" s="120"/>
      <c r="I24" s="120"/>
      <c r="J24" s="123">
        <f t="shared" ref="J24:T24" si="20">IF(YEAR(J$4)&lt;=PPLastYear,J$4,"")</f>
        <v>44348</v>
      </c>
      <c r="K24" s="123">
        <f t="shared" si="20"/>
        <v>44713</v>
      </c>
      <c r="L24" s="123">
        <f t="shared" si="20"/>
        <v>45078</v>
      </c>
      <c r="M24" s="123">
        <f t="shared" si="20"/>
        <v>45444</v>
      </c>
      <c r="N24" s="123">
        <f t="shared" si="20"/>
        <v>45809</v>
      </c>
      <c r="O24" s="123">
        <f t="shared" si="20"/>
        <v>46174</v>
      </c>
      <c r="P24" s="123" t="str">
        <f t="shared" si="20"/>
        <v/>
      </c>
      <c r="Q24" s="123" t="str">
        <f t="shared" si="20"/>
        <v/>
      </c>
      <c r="R24" s="123" t="str">
        <f t="shared" si="20"/>
        <v/>
      </c>
      <c r="S24" s="123" t="str">
        <f t="shared" si="20"/>
        <v/>
      </c>
      <c r="T24" s="123" t="str">
        <f t="shared" si="20"/>
        <v/>
      </c>
      <c r="U24" s="138"/>
      <c r="V24" s="17"/>
      <c r="W24" s="17"/>
    </row>
    <row r="25" spans="1:23" ht="11.25" customHeight="1" outlineLevel="1">
      <c r="A25" s="17"/>
      <c r="B25" s="17"/>
      <c r="C25" s="125"/>
      <c r="D25" s="120"/>
      <c r="E25" s="120"/>
      <c r="F25" s="120"/>
      <c r="G25" s="120"/>
      <c r="H25" s="120"/>
      <c r="I25" s="120"/>
      <c r="J25" s="17"/>
      <c r="K25" s="17"/>
      <c r="L25" s="17"/>
      <c r="M25" s="17"/>
      <c r="N25" s="17"/>
      <c r="O25" s="17"/>
      <c r="P25" s="17"/>
      <c r="Q25" s="154"/>
      <c r="R25" s="154"/>
      <c r="S25" s="154"/>
      <c r="T25" s="154"/>
      <c r="U25" s="154"/>
      <c r="V25" s="17"/>
      <c r="W25" s="17"/>
    </row>
    <row r="26" spans="1:23" ht="11.25" customHeight="1" outlineLevel="1">
      <c r="A26" s="17"/>
      <c r="B26" s="17"/>
      <c r="C26" s="153">
        <f t="array" ref="C26:C32">TRANSPOSE(J10:P10)</f>
        <v>44348</v>
      </c>
      <c r="D26" s="150" t="str">
        <f t="shared" ref="D26:D32" si="21">IF(ISNONTEXT($C26),"calculated","")</f>
        <v>calculated</v>
      </c>
      <c r="E26" s="120" t="str">
        <f>IF(ISNONTEXT($C26),"index","")</f>
        <v>index</v>
      </c>
      <c r="F26" s="120"/>
      <c r="G26" s="120"/>
      <c r="H26" s="120"/>
      <c r="I26" s="154"/>
      <c r="J26" s="154">
        <f>IF(AND(J$24=J$4,ISNONTEXT($C26)),1/J16*(1+J$12)^0.5,0)</f>
        <v>1.019049330730136</v>
      </c>
      <c r="K26" s="154">
        <f t="shared" ref="K26:T26" si="22">IF(AND(K$24=K$4,ISNONTEXT($C26)),1/K16*(1+K$12)^0.5,0)</f>
        <v>0.970623220902322</v>
      </c>
      <c r="L26" s="154">
        <f t="shared" si="22"/>
        <v>0.9149412196307648</v>
      </c>
      <c r="M26" s="154">
        <f t="shared" si="22"/>
        <v>0.87207935204504272</v>
      </c>
      <c r="N26" s="154">
        <f t="shared" si="22"/>
        <v>0.84581814217399887</v>
      </c>
      <c r="O26" s="154">
        <f t="shared" si="22"/>
        <v>0.82278652257411744</v>
      </c>
      <c r="P26" s="154">
        <f t="shared" si="22"/>
        <v>0</v>
      </c>
      <c r="Q26" s="154">
        <f t="shared" si="22"/>
        <v>0</v>
      </c>
      <c r="R26" s="154">
        <f t="shared" si="22"/>
        <v>0</v>
      </c>
      <c r="S26" s="154">
        <f t="shared" si="22"/>
        <v>0</v>
      </c>
      <c r="T26" s="154">
        <f t="shared" si="22"/>
        <v>0</v>
      </c>
      <c r="U26" s="154"/>
      <c r="V26" s="156"/>
      <c r="W26" s="156"/>
    </row>
    <row r="27" spans="1:23" ht="11.25" customHeight="1" outlineLevel="1">
      <c r="A27" s="17"/>
      <c r="B27" s="17"/>
      <c r="C27" s="153">
        <v>44713</v>
      </c>
      <c r="D27" s="150" t="str">
        <f t="shared" si="21"/>
        <v>calculated</v>
      </c>
      <c r="E27" s="120" t="str">
        <f t="shared" ref="E27:E32" si="23">IF(ISNONTEXT($C27),"index","")</f>
        <v>index</v>
      </c>
      <c r="F27" s="120"/>
      <c r="G27" s="120"/>
      <c r="H27" s="120"/>
      <c r="I27" s="154"/>
      <c r="J27" s="154">
        <f t="shared" ref="J27:T27" si="24">IF(AND(J$24=J$4,ISNONTEXT($C27)),1/J17*(1+J$12)^0.5,0)</f>
        <v>1.0816676818608599</v>
      </c>
      <c r="K27" s="154">
        <f t="shared" si="24"/>
        <v>1.0302658935671953</v>
      </c>
      <c r="L27" s="154">
        <f t="shared" si="24"/>
        <v>0.97116235518046667</v>
      </c>
      <c r="M27" s="154">
        <f t="shared" si="24"/>
        <v>0.92566671963703617</v>
      </c>
      <c r="N27" s="154">
        <f t="shared" si="24"/>
        <v>0.89779181589344481</v>
      </c>
      <c r="O27" s="154">
        <f t="shared" si="24"/>
        <v>0.87334495367505216</v>
      </c>
      <c r="P27" s="154">
        <f t="shared" si="24"/>
        <v>0</v>
      </c>
      <c r="Q27" s="154">
        <f t="shared" si="24"/>
        <v>0</v>
      </c>
      <c r="R27" s="154">
        <f t="shared" si="24"/>
        <v>0</v>
      </c>
      <c r="S27" s="154">
        <f t="shared" si="24"/>
        <v>0</v>
      </c>
      <c r="T27" s="154">
        <f t="shared" si="24"/>
        <v>0</v>
      </c>
      <c r="U27" s="154"/>
      <c r="V27" s="156"/>
      <c r="W27" s="156"/>
    </row>
    <row r="28" spans="1:23" ht="11.25" customHeight="1" outlineLevel="1">
      <c r="A28" s="17"/>
      <c r="B28" s="17"/>
      <c r="C28" s="153">
        <v>45078</v>
      </c>
      <c r="D28" s="150" t="str">
        <f t="shared" si="21"/>
        <v>calculated</v>
      </c>
      <c r="E28" s="120" t="str">
        <f t="shared" si="23"/>
        <v>index</v>
      </c>
      <c r="F28" s="120"/>
      <c r="G28" s="120"/>
      <c r="H28" s="120"/>
      <c r="I28" s="154"/>
      <c r="J28" s="154">
        <f t="shared" ref="J28:T28" si="25">IF(AND(J$24=J$4,ISNONTEXT($C28)),1/J18*(1+J$12)^0.5,0)</f>
        <v>1.1468593898873669</v>
      </c>
      <c r="K28" s="154">
        <f t="shared" si="25"/>
        <v>1.0923596349717211</v>
      </c>
      <c r="L28" s="154">
        <f t="shared" si="25"/>
        <v>1.0296939483554988</v>
      </c>
      <c r="M28" s="154">
        <f t="shared" si="25"/>
        <v>0.98145630781500182</v>
      </c>
      <c r="N28" s="154">
        <f t="shared" si="25"/>
        <v>0.95190139401232032</v>
      </c>
      <c r="O28" s="154">
        <f t="shared" si="25"/>
        <v>0.92598112851986125</v>
      </c>
      <c r="P28" s="154">
        <f t="shared" si="25"/>
        <v>0</v>
      </c>
      <c r="Q28" s="154">
        <f t="shared" si="25"/>
        <v>0</v>
      </c>
      <c r="R28" s="154">
        <f t="shared" si="25"/>
        <v>0</v>
      </c>
      <c r="S28" s="154">
        <f t="shared" si="25"/>
        <v>0</v>
      </c>
      <c r="T28" s="154">
        <f t="shared" si="25"/>
        <v>0</v>
      </c>
      <c r="U28" s="154"/>
      <c r="V28" s="156"/>
      <c r="W28" s="156"/>
    </row>
    <row r="29" spans="1:23" ht="11.25" customHeight="1" outlineLevel="1">
      <c r="A29" s="17"/>
      <c r="B29" s="17"/>
      <c r="C29" s="153">
        <v>45444</v>
      </c>
      <c r="D29" s="150" t="str">
        <f t="shared" si="21"/>
        <v>calculated</v>
      </c>
      <c r="E29" s="120" t="str">
        <f t="shared" si="23"/>
        <v>index</v>
      </c>
      <c r="F29" s="120"/>
      <c r="G29" s="120"/>
      <c r="H29" s="120"/>
      <c r="I29" s="154"/>
      <c r="J29" s="154">
        <f t="shared" ref="J29:T29" si="26">IF(AND(J$24=J$4,ISNONTEXT($C29)),1/J19*(1+J$12)^0.5,0)</f>
        <v>1.1906064571156811</v>
      </c>
      <c r="K29" s="154">
        <f t="shared" si="26"/>
        <v>1.1340278035458109</v>
      </c>
      <c r="L29" s="154">
        <f t="shared" si="26"/>
        <v>1.0689717279861126</v>
      </c>
      <c r="M29" s="154">
        <f t="shared" si="26"/>
        <v>1.0188940577765317</v>
      </c>
      <c r="N29" s="154">
        <f t="shared" si="26"/>
        <v>0.98821176880261852</v>
      </c>
      <c r="O29" s="154">
        <f t="shared" si="26"/>
        <v>0.96130277216571991</v>
      </c>
      <c r="P29" s="154">
        <f t="shared" si="26"/>
        <v>0</v>
      </c>
      <c r="Q29" s="154">
        <f t="shared" si="26"/>
        <v>0</v>
      </c>
      <c r="R29" s="154">
        <f t="shared" si="26"/>
        <v>0</v>
      </c>
      <c r="S29" s="154">
        <f t="shared" si="26"/>
        <v>0</v>
      </c>
      <c r="T29" s="154">
        <f t="shared" si="26"/>
        <v>0</v>
      </c>
      <c r="U29" s="154"/>
      <c r="V29" s="156"/>
      <c r="W29" s="156"/>
    </row>
    <row r="30" spans="1:23" ht="11.25" customHeight="1" outlineLevel="1">
      <c r="A30" s="17"/>
      <c r="B30" s="17"/>
      <c r="C30" s="153">
        <v>45809</v>
      </c>
      <c r="D30" s="150" t="str">
        <f t="shared" si="21"/>
        <v>calculated</v>
      </c>
      <c r="E30" s="120" t="str">
        <f t="shared" si="23"/>
        <v>index</v>
      </c>
      <c r="F30" s="120"/>
      <c r="G30" s="120"/>
      <c r="H30" s="120"/>
      <c r="I30" s="154"/>
      <c r="J30" s="154">
        <f t="shared" ref="J30:T30" si="27">IF(AND(J$24=J$4,ISNONTEXT($C30)),1/J20*(1+J$12)^0.5,0)</f>
        <v>1.2191810120864575</v>
      </c>
      <c r="K30" s="154">
        <f t="shared" si="27"/>
        <v>1.1612444708309104</v>
      </c>
      <c r="L30" s="154">
        <f t="shared" si="27"/>
        <v>1.0946270494577794</v>
      </c>
      <c r="M30" s="154">
        <f t="shared" si="27"/>
        <v>1.0433475151631686</v>
      </c>
      <c r="N30" s="154">
        <f t="shared" si="27"/>
        <v>1.0119288512538813</v>
      </c>
      <c r="O30" s="154">
        <f t="shared" si="27"/>
        <v>0.98437403869769724</v>
      </c>
      <c r="P30" s="154">
        <f t="shared" si="27"/>
        <v>0</v>
      </c>
      <c r="Q30" s="154">
        <f t="shared" si="27"/>
        <v>0</v>
      </c>
      <c r="R30" s="154">
        <f t="shared" si="27"/>
        <v>0</v>
      </c>
      <c r="S30" s="154">
        <f t="shared" si="27"/>
        <v>0</v>
      </c>
      <c r="T30" s="154">
        <f t="shared" si="27"/>
        <v>0</v>
      </c>
      <c r="U30" s="154"/>
      <c r="V30" s="156"/>
      <c r="W30" s="156"/>
    </row>
    <row r="31" spans="1:23" ht="11.25" customHeight="1" outlineLevel="1">
      <c r="A31" s="17"/>
      <c r="B31" s="17"/>
      <c r="C31" s="153">
        <v>46174</v>
      </c>
      <c r="D31" s="150" t="str">
        <f t="shared" si="21"/>
        <v>calculated</v>
      </c>
      <c r="E31" s="120" t="str">
        <f t="shared" si="23"/>
        <v>index</v>
      </c>
      <c r="F31" s="120"/>
      <c r="G31" s="120"/>
      <c r="H31" s="120"/>
      <c r="I31" s="154"/>
      <c r="J31" s="154">
        <f t="shared" ref="J31:T32" si="28">IF(AND(J$24=J$4,ISNONTEXT($C31)),1/J21*(1+J$12)^0.5,0)</f>
        <v>1.2581948044732241</v>
      </c>
      <c r="K31" s="154">
        <f>IF(AND(K$24=K$4,ISNONTEXT($C31)),1/K21*(1+K$12)^0.5,0)</f>
        <v>1.1984042938974997</v>
      </c>
      <c r="L31" s="154">
        <f t="shared" si="28"/>
        <v>1.1296551150404286</v>
      </c>
      <c r="M31" s="154">
        <f>IF(AND(M$24=M$4,ISNONTEXT($C31)),1/M21*(1+M$12)^0.5,0)</f>
        <v>1.07673463564839</v>
      </c>
      <c r="N31" s="154">
        <f t="shared" si="28"/>
        <v>1.0443105744940056</v>
      </c>
      <c r="O31" s="154">
        <f t="shared" si="28"/>
        <v>1.0158740079360236</v>
      </c>
      <c r="P31" s="154">
        <f t="shared" si="28"/>
        <v>0</v>
      </c>
      <c r="Q31" s="154">
        <f t="shared" si="28"/>
        <v>0</v>
      </c>
      <c r="R31" s="154">
        <f t="shared" si="28"/>
        <v>0</v>
      </c>
      <c r="S31" s="154">
        <f t="shared" si="28"/>
        <v>0</v>
      </c>
      <c r="T31" s="154">
        <f t="shared" si="28"/>
        <v>0</v>
      </c>
      <c r="U31" s="154"/>
      <c r="V31" s="156"/>
      <c r="W31" s="156"/>
    </row>
    <row r="32" spans="1:23" ht="11.25" customHeight="1" outlineLevel="1">
      <c r="A32" s="17"/>
      <c r="B32" s="17"/>
      <c r="C32" s="153" t="str">
        <v/>
      </c>
      <c r="D32" s="150" t="str">
        <f t="shared" si="21"/>
        <v/>
      </c>
      <c r="E32" s="120" t="str">
        <f t="shared" si="23"/>
        <v/>
      </c>
      <c r="F32" s="120"/>
      <c r="G32" s="120"/>
      <c r="H32" s="120"/>
      <c r="I32" s="154"/>
      <c r="J32" s="154">
        <f t="shared" si="28"/>
        <v>0</v>
      </c>
      <c r="K32" s="154">
        <f t="shared" si="28"/>
        <v>0</v>
      </c>
      <c r="L32" s="154">
        <f t="shared" si="28"/>
        <v>0</v>
      </c>
      <c r="M32" s="154">
        <f t="shared" si="28"/>
        <v>0</v>
      </c>
      <c r="N32" s="154">
        <f t="shared" si="28"/>
        <v>0</v>
      </c>
      <c r="O32" s="154">
        <f t="shared" si="28"/>
        <v>0</v>
      </c>
      <c r="P32" s="154">
        <f t="shared" si="28"/>
        <v>0</v>
      </c>
      <c r="Q32" s="154">
        <f t="shared" si="28"/>
        <v>0</v>
      </c>
      <c r="R32" s="154">
        <f t="shared" si="28"/>
        <v>0</v>
      </c>
      <c r="S32" s="154">
        <f t="shared" si="28"/>
        <v>0</v>
      </c>
      <c r="T32" s="154">
        <f t="shared" si="28"/>
        <v>0</v>
      </c>
      <c r="U32" s="154"/>
      <c r="V32" s="156"/>
      <c r="W32" s="156"/>
    </row>
    <row r="33" spans="1:34">
      <c r="A33" s="17"/>
      <c r="B33" s="17"/>
      <c r="C33" s="125"/>
      <c r="D33" s="120"/>
      <c r="E33" s="120"/>
      <c r="F33" s="120"/>
      <c r="G33" s="120"/>
      <c r="H33" s="120"/>
      <c r="I33" s="120"/>
      <c r="J33" s="120"/>
      <c r="K33" s="154"/>
      <c r="L33" s="154"/>
      <c r="M33" s="154"/>
      <c r="N33" s="154"/>
      <c r="O33" s="154"/>
      <c r="P33" s="152"/>
      <c r="Q33" s="154"/>
      <c r="R33" s="154"/>
      <c r="S33" s="154"/>
      <c r="T33" s="154"/>
      <c r="U33" s="154"/>
      <c r="V33" s="17"/>
      <c r="W33" s="17"/>
    </row>
    <row r="34" spans="1:34" customFormat="1" ht="13.15">
      <c r="A34" s="32"/>
      <c r="B34" s="38" t="s">
        <v>67</v>
      </c>
      <c r="C34" s="32"/>
      <c r="D34" s="32"/>
      <c r="E34" s="32"/>
      <c r="F34" s="118"/>
      <c r="G34" s="118"/>
      <c r="H34" s="118"/>
      <c r="I34" s="118"/>
      <c r="J34" s="118"/>
      <c r="K34" s="34"/>
      <c r="L34" s="119"/>
      <c r="M34" s="34"/>
      <c r="N34" s="119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7"/>
      <c r="B35" s="17"/>
      <c r="C35" s="17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7"/>
      <c r="W35" s="17"/>
    </row>
    <row r="36" spans="1:34" ht="11.25" customHeight="1" outlineLevel="1">
      <c r="A36" s="17"/>
      <c r="B36" s="17"/>
      <c r="C36" s="122" t="s">
        <v>68</v>
      </c>
      <c r="D36" s="121" t="s">
        <v>33</v>
      </c>
      <c r="E36" s="121" t="s">
        <v>56</v>
      </c>
      <c r="F36" s="120"/>
      <c r="G36" s="120"/>
      <c r="H36" s="120"/>
      <c r="I36" s="120"/>
      <c r="J36" s="138" t="str">
        <f t="shared" ref="J36:U36" si="29">IF(YEAR(J$4)&gt;=FPFirstYear,IF(YEAR(J$4)&lt;=FPLastYear,J$4,""),"")</f>
        <v/>
      </c>
      <c r="K36" s="138" t="str">
        <f t="shared" si="29"/>
        <v/>
      </c>
      <c r="L36" s="138" t="str">
        <f t="shared" si="29"/>
        <v/>
      </c>
      <c r="M36" s="138" t="str">
        <f t="shared" si="29"/>
        <v/>
      </c>
      <c r="N36" s="138" t="str">
        <f t="shared" si="29"/>
        <v/>
      </c>
      <c r="O36" s="138" t="str">
        <f t="shared" si="29"/>
        <v/>
      </c>
      <c r="P36" s="138">
        <f t="shared" si="29"/>
        <v>46539</v>
      </c>
      <c r="Q36" s="138">
        <f t="shared" si="29"/>
        <v>46905</v>
      </c>
      <c r="R36" s="138">
        <f t="shared" si="29"/>
        <v>47270</v>
      </c>
      <c r="S36" s="138">
        <f t="shared" si="29"/>
        <v>47635</v>
      </c>
      <c r="T36" s="138">
        <f t="shared" si="29"/>
        <v>48000</v>
      </c>
      <c r="U36" s="138" t="str">
        <f t="shared" si="29"/>
        <v/>
      </c>
      <c r="V36" s="17"/>
      <c r="W36" s="17"/>
    </row>
    <row r="37" spans="1:34" ht="11.25" customHeight="1" outlineLevel="1">
      <c r="A37" s="17"/>
      <c r="B37" s="17"/>
      <c r="C37" s="17"/>
      <c r="D37" s="120"/>
      <c r="E37" s="120"/>
      <c r="F37" s="120"/>
      <c r="G37" s="120"/>
      <c r="H37" s="120"/>
      <c r="I37" s="120"/>
      <c r="J37" s="1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34" ht="11.25" customHeight="1" outlineLevel="1">
      <c r="A38" s="17"/>
      <c r="B38" s="17"/>
      <c r="C38" s="161" t="s">
        <v>69</v>
      </c>
      <c r="D38" s="120" t="s">
        <v>70</v>
      </c>
      <c r="E38" s="120" t="str">
        <f t="shared" ref="E38:E45" si="30">percent</f>
        <v>Per cent</v>
      </c>
      <c r="F38" s="120"/>
      <c r="G38" s="120"/>
      <c r="H38" s="120"/>
      <c r="I38" s="120"/>
      <c r="J38" s="157"/>
      <c r="K38" s="158"/>
      <c r="L38" s="158"/>
      <c r="M38" s="158"/>
      <c r="N38" s="158"/>
      <c r="O38" s="158"/>
      <c r="P38" s="159">
        <v>9.5176894908846291E-3</v>
      </c>
      <c r="Q38" s="159">
        <v>9.3011596103624323E-3</v>
      </c>
      <c r="R38" s="159">
        <v>1.0795445549347193E-2</v>
      </c>
      <c r="S38" s="159">
        <v>1.198734606573252E-2</v>
      </c>
      <c r="T38" s="159">
        <v>1.289271396481312E-2</v>
      </c>
      <c r="U38" s="17"/>
      <c r="V38" s="17"/>
      <c r="W38" s="17"/>
    </row>
    <row r="39" spans="1:34" ht="11.25" customHeight="1" outlineLevel="1">
      <c r="A39" s="17"/>
      <c r="B39" s="17"/>
      <c r="C39" s="161"/>
      <c r="D39" s="120" t="s">
        <v>70</v>
      </c>
      <c r="E39" s="120" t="str">
        <f t="shared" si="30"/>
        <v>Per cent</v>
      </c>
      <c r="F39" s="120"/>
      <c r="G39" s="120"/>
      <c r="H39" s="120"/>
      <c r="I39" s="120"/>
      <c r="J39" s="157"/>
      <c r="K39" s="158"/>
      <c r="L39" s="158"/>
      <c r="M39" s="158"/>
      <c r="N39" s="158"/>
      <c r="O39" s="158"/>
      <c r="P39" s="160"/>
      <c r="Q39" s="160"/>
      <c r="R39" s="160"/>
      <c r="S39" s="160"/>
      <c r="T39" s="160"/>
      <c r="U39" s="17"/>
      <c r="V39" s="17"/>
      <c r="W39" s="17"/>
    </row>
    <row r="40" spans="1:34" ht="11.25" customHeight="1" outlineLevel="1">
      <c r="A40" s="17"/>
      <c r="B40" s="17"/>
      <c r="C40" s="127"/>
      <c r="D40" s="120" t="s">
        <v>70</v>
      </c>
      <c r="E40" s="120" t="str">
        <f t="shared" si="30"/>
        <v>Per cent</v>
      </c>
      <c r="F40" s="120"/>
      <c r="G40" s="120"/>
      <c r="H40" s="120"/>
      <c r="I40" s="120"/>
      <c r="J40" s="157"/>
      <c r="K40" s="158"/>
      <c r="L40" s="158"/>
      <c r="M40" s="158"/>
      <c r="N40" s="158"/>
      <c r="O40" s="158"/>
      <c r="P40" s="160"/>
      <c r="Q40" s="160"/>
      <c r="R40" s="160"/>
      <c r="S40" s="160"/>
      <c r="T40" s="160"/>
      <c r="U40" s="17"/>
      <c r="V40" s="17"/>
      <c r="W40" s="17"/>
    </row>
    <row r="41" spans="1:34" ht="11.25" customHeight="1" outlineLevel="1">
      <c r="A41" s="17"/>
      <c r="B41" s="17"/>
      <c r="C41" s="127"/>
      <c r="D41" s="120" t="s">
        <v>70</v>
      </c>
      <c r="E41" s="120" t="str">
        <f t="shared" si="30"/>
        <v>Per cent</v>
      </c>
      <c r="F41" s="120"/>
      <c r="G41" s="120"/>
      <c r="H41" s="120"/>
      <c r="I41" s="120"/>
      <c r="J41" s="157"/>
      <c r="K41" s="158"/>
      <c r="L41" s="158"/>
      <c r="M41" s="158"/>
      <c r="N41" s="158"/>
      <c r="O41" s="158"/>
      <c r="P41" s="199"/>
      <c r="Q41" s="199"/>
      <c r="R41" s="199"/>
      <c r="S41" s="199"/>
      <c r="T41" s="199"/>
      <c r="U41" s="162"/>
      <c r="V41" s="163"/>
      <c r="W41" s="17"/>
    </row>
    <row r="42" spans="1:34" ht="11.25" customHeight="1" outlineLevel="1">
      <c r="A42" s="17"/>
      <c r="B42" s="17"/>
      <c r="C42" s="127"/>
      <c r="D42" s="120" t="s">
        <v>70</v>
      </c>
      <c r="E42" s="120" t="str">
        <f t="shared" si="30"/>
        <v>Per cent</v>
      </c>
      <c r="F42" s="120"/>
      <c r="G42" s="120"/>
      <c r="H42" s="120"/>
      <c r="I42" s="120"/>
      <c r="J42" s="157"/>
      <c r="K42" s="158"/>
      <c r="L42" s="158"/>
      <c r="M42" s="158"/>
      <c r="N42" s="158"/>
      <c r="O42" s="158"/>
      <c r="P42" s="160"/>
      <c r="Q42" s="160"/>
      <c r="R42" s="160"/>
      <c r="S42" s="160"/>
      <c r="T42" s="160"/>
      <c r="U42" s="162"/>
      <c r="V42" s="17"/>
      <c r="W42" s="17"/>
    </row>
    <row r="43" spans="1:34" ht="11.25" customHeight="1" outlineLevel="1">
      <c r="A43" s="17"/>
      <c r="B43" s="17"/>
      <c r="C43" s="127"/>
      <c r="D43" s="120" t="s">
        <v>70</v>
      </c>
      <c r="E43" s="120" t="str">
        <f t="shared" si="30"/>
        <v>Per cent</v>
      </c>
      <c r="F43" s="120"/>
      <c r="G43" s="120"/>
      <c r="H43" s="120"/>
      <c r="I43" s="120"/>
      <c r="J43" s="157"/>
      <c r="K43" s="158"/>
      <c r="L43" s="158"/>
      <c r="M43" s="158"/>
      <c r="N43" s="158"/>
      <c r="O43" s="158"/>
      <c r="P43" s="164"/>
      <c r="Q43" s="164"/>
      <c r="R43" s="164"/>
      <c r="S43" s="164"/>
      <c r="T43" s="164"/>
      <c r="U43" s="162"/>
      <c r="V43" s="17"/>
      <c r="W43" s="17"/>
    </row>
    <row r="44" spans="1:34" ht="11.25" customHeight="1" outlineLevel="1">
      <c r="A44" s="17"/>
      <c r="B44" s="17"/>
      <c r="C44" s="127"/>
      <c r="D44" s="120" t="s">
        <v>70</v>
      </c>
      <c r="E44" s="120" t="str">
        <f t="shared" si="30"/>
        <v>Per cent</v>
      </c>
      <c r="F44" s="120"/>
      <c r="G44" s="120"/>
      <c r="H44" s="120"/>
      <c r="I44" s="120"/>
      <c r="J44" s="157"/>
      <c r="K44" s="158"/>
      <c r="L44" s="158"/>
      <c r="M44" s="158"/>
      <c r="N44" s="158"/>
      <c r="O44" s="158"/>
      <c r="P44" s="164"/>
      <c r="Q44" s="164"/>
      <c r="R44" s="164"/>
      <c r="S44" s="164"/>
      <c r="T44" s="164"/>
      <c r="U44" s="162"/>
      <c r="V44" s="17"/>
      <c r="W44" s="17"/>
    </row>
    <row r="45" spans="1:34" ht="11.25" customHeight="1" outlineLevel="1">
      <c r="A45" s="17"/>
      <c r="B45" s="17"/>
      <c r="C45" s="127" t="s">
        <v>71</v>
      </c>
      <c r="D45" s="120" t="s">
        <v>70</v>
      </c>
      <c r="E45" s="120" t="str">
        <f t="shared" si="30"/>
        <v>Per cent</v>
      </c>
      <c r="F45" s="120"/>
      <c r="G45" s="120"/>
      <c r="H45" s="120"/>
      <c r="I45" s="120"/>
      <c r="J45" s="157"/>
      <c r="K45" s="158"/>
      <c r="L45" s="158"/>
      <c r="M45" s="158"/>
      <c r="N45" s="158"/>
      <c r="O45" s="158"/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62"/>
      <c r="V45" s="17"/>
      <c r="W45" s="17"/>
    </row>
    <row r="46" spans="1:34" ht="11.25" customHeight="1" outlineLevel="1">
      <c r="A46" s="17"/>
      <c r="B46" s="17"/>
      <c r="C46" s="17"/>
      <c r="D46" s="120"/>
      <c r="E46" s="120"/>
      <c r="F46" s="120"/>
      <c r="G46" s="120"/>
      <c r="H46" s="120"/>
      <c r="I46" s="120"/>
      <c r="J46" s="12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4" ht="11.25" customHeight="1" outlineLevel="1">
      <c r="A47" s="17"/>
      <c r="B47" s="17"/>
      <c r="C47" s="17" t="s">
        <v>72</v>
      </c>
      <c r="D47" s="120" t="s">
        <v>64</v>
      </c>
      <c r="E47" s="120" t="s">
        <v>73</v>
      </c>
      <c r="F47" s="120" t="s">
        <v>74</v>
      </c>
      <c r="G47" s="120"/>
      <c r="H47" s="120"/>
      <c r="I47" s="120"/>
      <c r="J47" s="165" t="str">
        <f t="shared" ref="J47:S47" si="31">IF(J36=J4,IF(COUNTA($C38:$C45)=COUNT(J38:J45),"Ok","Check"),"")</f>
        <v/>
      </c>
      <c r="K47" s="165" t="str">
        <f t="shared" si="31"/>
        <v/>
      </c>
      <c r="L47" s="165" t="str">
        <f t="shared" si="31"/>
        <v/>
      </c>
      <c r="M47" s="165" t="str">
        <f t="shared" si="31"/>
        <v/>
      </c>
      <c r="N47" s="165" t="str">
        <f t="shared" si="31"/>
        <v/>
      </c>
      <c r="O47" s="165" t="str">
        <f t="shared" si="31"/>
        <v/>
      </c>
      <c r="P47" s="165" t="str">
        <f t="shared" si="31"/>
        <v>Ok</v>
      </c>
      <c r="Q47" s="165" t="str">
        <f t="shared" si="31"/>
        <v>Ok</v>
      </c>
      <c r="R47" s="165" t="str">
        <f t="shared" si="31"/>
        <v>Ok</v>
      </c>
      <c r="S47" s="165" t="str">
        <f t="shared" si="31"/>
        <v>Ok</v>
      </c>
      <c r="T47" s="165" t="str">
        <f>IF(T36=T4,IF(COUNTA($C38:$C45)=COUNT(T38:T45),"Ok","Check"),"")</f>
        <v>Ok</v>
      </c>
      <c r="U47" s="165" t="str">
        <f>IF(U36=U4,IF(COUNTA($C38:$C45)=COUNT(U38:U45),"Ok","Check"),"")</f>
        <v/>
      </c>
      <c r="V47" s="166"/>
      <c r="W47" s="17"/>
      <c r="X47" s="81" t="str">
        <f>IF(COUNTIF(J47:U47,"Check")=0,"Ok","Check")</f>
        <v>Ok</v>
      </c>
    </row>
    <row r="48" spans="1:34" ht="11.25" customHeight="1" outlineLevel="1">
      <c r="A48" s="17"/>
      <c r="B48" s="17"/>
      <c r="C48" s="17"/>
      <c r="D48" s="120"/>
      <c r="E48" s="120"/>
      <c r="F48" s="120"/>
      <c r="G48" s="120"/>
      <c r="H48" s="120"/>
      <c r="I48" s="120"/>
      <c r="J48" s="1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34" ht="11.25" customHeight="1" outlineLevel="1">
      <c r="A49" s="17"/>
      <c r="B49" s="17"/>
      <c r="C49" s="122" t="s">
        <v>75</v>
      </c>
      <c r="D49" s="121" t="s">
        <v>33</v>
      </c>
      <c r="E49" s="121" t="s">
        <v>56</v>
      </c>
      <c r="F49" s="120"/>
      <c r="G49" s="120"/>
      <c r="H49" s="120"/>
      <c r="I49" s="120"/>
      <c r="J49" s="138" t="str">
        <f t="shared" ref="J49:U49" si="32">IF(YEAR(J$4)&gt;=FPFirstYear,IF(YEAR(J$4)&lt;=FPLastYear,J$4,""),"")</f>
        <v/>
      </c>
      <c r="K49" s="138" t="str">
        <f t="shared" si="32"/>
        <v/>
      </c>
      <c r="L49" s="138" t="str">
        <f t="shared" si="32"/>
        <v/>
      </c>
      <c r="M49" s="138" t="str">
        <f t="shared" si="32"/>
        <v/>
      </c>
      <c r="N49" s="138" t="str">
        <f t="shared" si="32"/>
        <v/>
      </c>
      <c r="O49" s="138" t="str">
        <f t="shared" si="32"/>
        <v/>
      </c>
      <c r="P49" s="138">
        <f t="shared" si="32"/>
        <v>46539</v>
      </c>
      <c r="Q49" s="138">
        <f t="shared" si="32"/>
        <v>46905</v>
      </c>
      <c r="R49" s="138">
        <f t="shared" si="32"/>
        <v>47270</v>
      </c>
      <c r="S49" s="138">
        <f t="shared" si="32"/>
        <v>47635</v>
      </c>
      <c r="T49" s="138">
        <f t="shared" si="32"/>
        <v>48000</v>
      </c>
      <c r="U49" s="138" t="str">
        <f t="shared" si="32"/>
        <v/>
      </c>
      <c r="V49" s="17"/>
      <c r="W49" s="17"/>
    </row>
    <row r="50" spans="1:34" ht="11.25" customHeight="1" outlineLevel="1">
      <c r="A50" s="17"/>
      <c r="B50" s="17"/>
      <c r="C50" s="17"/>
      <c r="D50" s="120"/>
      <c r="E50" s="120"/>
      <c r="F50" s="120"/>
      <c r="G50" s="120"/>
      <c r="H50" s="120"/>
      <c r="I50" s="120"/>
      <c r="J50" s="12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34" ht="11.25" customHeight="1" outlineLevel="1">
      <c r="A51" s="17"/>
      <c r="B51" s="17"/>
      <c r="C51" s="167" t="s">
        <v>76</v>
      </c>
      <c r="D51" s="120" t="s">
        <v>77</v>
      </c>
      <c r="E51" s="120" t="str">
        <f t="shared" ref="E51:E58" si="33">percent</f>
        <v>Per cent</v>
      </c>
      <c r="F51" s="120"/>
      <c r="G51" s="120"/>
      <c r="H51" s="120"/>
      <c r="I51" s="120"/>
      <c r="J51" s="157"/>
      <c r="K51" s="158"/>
      <c r="L51" s="158"/>
      <c r="M51" s="158"/>
      <c r="N51" s="158"/>
      <c r="O51" s="158"/>
      <c r="P51" s="143">
        <v>0.62</v>
      </c>
      <c r="Q51" s="143">
        <v>0.62</v>
      </c>
      <c r="R51" s="143">
        <v>0.62</v>
      </c>
      <c r="S51" s="143">
        <v>0.62</v>
      </c>
      <c r="T51" s="143">
        <v>0.62</v>
      </c>
      <c r="U51" s="168"/>
      <c r="V51" s="17"/>
      <c r="W51" s="17"/>
    </row>
    <row r="52" spans="1:34" ht="11.25" customHeight="1" outlineLevel="1">
      <c r="A52" s="17"/>
      <c r="B52" s="17"/>
      <c r="C52" s="167">
        <f t="shared" ref="C52:C57" si="34">C39</f>
        <v>0</v>
      </c>
      <c r="D52" s="120" t="s">
        <v>70</v>
      </c>
      <c r="E52" s="120" t="str">
        <f t="shared" si="33"/>
        <v>Per cent</v>
      </c>
      <c r="F52" s="120"/>
      <c r="G52" s="120"/>
      <c r="H52" s="120"/>
      <c r="I52" s="120"/>
      <c r="J52" s="157"/>
      <c r="K52" s="158"/>
      <c r="L52" s="158"/>
      <c r="M52" s="158"/>
      <c r="N52" s="158"/>
      <c r="O52" s="158"/>
      <c r="P52" s="143"/>
      <c r="Q52" s="143"/>
      <c r="R52" s="143"/>
      <c r="S52" s="143"/>
      <c r="T52" s="143"/>
      <c r="U52" s="168"/>
      <c r="V52" s="17"/>
      <c r="W52" s="17"/>
    </row>
    <row r="53" spans="1:34" ht="11.25" customHeight="1" outlineLevel="1">
      <c r="A53" s="17"/>
      <c r="B53" s="17"/>
      <c r="C53" s="167">
        <f t="shared" si="34"/>
        <v>0</v>
      </c>
      <c r="D53" s="120" t="s">
        <v>70</v>
      </c>
      <c r="E53" s="120" t="str">
        <f t="shared" si="33"/>
        <v>Per cent</v>
      </c>
      <c r="F53" s="120"/>
      <c r="G53" s="120"/>
      <c r="H53" s="120"/>
      <c r="I53" s="120"/>
      <c r="J53" s="157"/>
      <c r="K53" s="158"/>
      <c r="L53" s="158"/>
      <c r="M53" s="158"/>
      <c r="N53" s="158"/>
      <c r="O53" s="158"/>
      <c r="P53" s="143"/>
      <c r="Q53" s="143"/>
      <c r="R53" s="143"/>
      <c r="S53" s="143"/>
      <c r="T53" s="143"/>
      <c r="U53" s="168"/>
      <c r="V53" s="17"/>
      <c r="W53" s="17"/>
    </row>
    <row r="54" spans="1:34" ht="11.25" customHeight="1" outlineLevel="1">
      <c r="A54" s="17"/>
      <c r="B54" s="17"/>
      <c r="C54" s="167">
        <f t="shared" si="34"/>
        <v>0</v>
      </c>
      <c r="D54" s="120" t="s">
        <v>70</v>
      </c>
      <c r="E54" s="120" t="str">
        <f t="shared" si="33"/>
        <v>Per cent</v>
      </c>
      <c r="F54" s="120"/>
      <c r="G54" s="120"/>
      <c r="H54" s="120"/>
      <c r="I54" s="120"/>
      <c r="J54" s="157"/>
      <c r="K54" s="158"/>
      <c r="L54" s="158"/>
      <c r="M54" s="158"/>
      <c r="N54" s="158"/>
      <c r="O54" s="158"/>
      <c r="P54" s="143"/>
      <c r="Q54" s="143"/>
      <c r="R54" s="143"/>
      <c r="S54" s="143"/>
      <c r="T54" s="143"/>
      <c r="U54" s="168"/>
      <c r="V54" s="163"/>
      <c r="W54" s="17"/>
    </row>
    <row r="55" spans="1:34" ht="11.25" customHeight="1" outlineLevel="1">
      <c r="A55" s="17"/>
      <c r="B55" s="17"/>
      <c r="C55" s="167">
        <f t="shared" si="34"/>
        <v>0</v>
      </c>
      <c r="D55" s="120" t="s">
        <v>70</v>
      </c>
      <c r="E55" s="120" t="str">
        <f t="shared" si="33"/>
        <v>Per cent</v>
      </c>
      <c r="F55" s="120"/>
      <c r="G55" s="120"/>
      <c r="H55" s="120"/>
      <c r="I55" s="120"/>
      <c r="J55" s="157"/>
      <c r="K55" s="158"/>
      <c r="L55" s="158"/>
      <c r="M55" s="158"/>
      <c r="N55" s="158"/>
      <c r="O55" s="158"/>
      <c r="P55" s="143"/>
      <c r="Q55" s="143"/>
      <c r="R55" s="143"/>
      <c r="S55" s="143"/>
      <c r="T55" s="143"/>
      <c r="U55" s="168"/>
      <c r="V55" s="17"/>
      <c r="W55" s="17"/>
    </row>
    <row r="56" spans="1:34" ht="11.25" customHeight="1" outlineLevel="1">
      <c r="A56" s="17"/>
      <c r="B56" s="17"/>
      <c r="C56" s="167">
        <f t="shared" si="34"/>
        <v>0</v>
      </c>
      <c r="D56" s="120" t="s">
        <v>70</v>
      </c>
      <c r="E56" s="120" t="str">
        <f t="shared" si="33"/>
        <v>Per cent</v>
      </c>
      <c r="F56" s="120"/>
      <c r="G56" s="120"/>
      <c r="H56" s="120"/>
      <c r="I56" s="120"/>
      <c r="J56" s="157"/>
      <c r="K56" s="158"/>
      <c r="L56" s="158"/>
      <c r="M56" s="158"/>
      <c r="N56" s="158"/>
      <c r="O56" s="158"/>
      <c r="P56" s="143"/>
      <c r="Q56" s="143"/>
      <c r="R56" s="143"/>
      <c r="S56" s="143"/>
      <c r="T56" s="143"/>
      <c r="U56" s="168"/>
      <c r="V56" s="17"/>
      <c r="W56" s="17"/>
    </row>
    <row r="57" spans="1:34" ht="11.25" customHeight="1" outlineLevel="1">
      <c r="A57" s="17"/>
      <c r="B57" s="17"/>
      <c r="C57" s="167">
        <f t="shared" si="34"/>
        <v>0</v>
      </c>
      <c r="D57" s="120" t="s">
        <v>70</v>
      </c>
      <c r="E57" s="120" t="str">
        <f t="shared" si="33"/>
        <v>Per cent</v>
      </c>
      <c r="F57" s="120"/>
      <c r="G57" s="120"/>
      <c r="H57" s="120"/>
      <c r="I57" s="120"/>
      <c r="J57" s="157"/>
      <c r="K57" s="158"/>
      <c r="L57" s="158"/>
      <c r="M57" s="158"/>
      <c r="N57" s="158"/>
      <c r="O57" s="158"/>
      <c r="P57" s="143"/>
      <c r="Q57" s="143"/>
      <c r="R57" s="143"/>
      <c r="S57" s="143"/>
      <c r="T57" s="143"/>
      <c r="U57" s="168"/>
      <c r="V57" s="17"/>
      <c r="W57" s="17"/>
    </row>
    <row r="58" spans="1:34" ht="11.25" customHeight="1" outlineLevel="1">
      <c r="A58" s="17"/>
      <c r="B58" s="17"/>
      <c r="C58" s="167" t="s">
        <v>78</v>
      </c>
      <c r="D58" s="120" t="s">
        <v>70</v>
      </c>
      <c r="E58" s="120" t="str">
        <f t="shared" si="33"/>
        <v>Per cent</v>
      </c>
      <c r="F58" s="120"/>
      <c r="G58" s="120"/>
      <c r="H58" s="120"/>
      <c r="I58" s="120"/>
      <c r="J58" s="157"/>
      <c r="K58" s="158"/>
      <c r="L58" s="158"/>
      <c r="M58" s="158"/>
      <c r="N58" s="158"/>
      <c r="O58" s="158"/>
      <c r="P58" s="143">
        <f>1-P51</f>
        <v>0.38</v>
      </c>
      <c r="Q58" s="143">
        <f t="shared" ref="Q58:T58" si="35">1-Q51</f>
        <v>0.38</v>
      </c>
      <c r="R58" s="143">
        <f t="shared" si="35"/>
        <v>0.38</v>
      </c>
      <c r="S58" s="143">
        <f t="shared" si="35"/>
        <v>0.38</v>
      </c>
      <c r="T58" s="143">
        <f t="shared" si="35"/>
        <v>0.38</v>
      </c>
      <c r="U58" s="168"/>
      <c r="V58" s="17"/>
      <c r="W58" s="17"/>
    </row>
    <row r="59" spans="1:34" ht="11.25" customHeight="1" outlineLevel="1">
      <c r="A59" s="17"/>
      <c r="B59" s="17"/>
      <c r="C59" s="17"/>
      <c r="D59" s="120"/>
      <c r="E59" s="120"/>
      <c r="F59" s="120"/>
      <c r="G59" s="120"/>
      <c r="H59" s="120"/>
      <c r="I59" s="120"/>
      <c r="J59" s="12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34" outlineLevel="1">
      <c r="A60" s="17"/>
      <c r="B60" s="17"/>
      <c r="C60" s="17" t="s">
        <v>72</v>
      </c>
      <c r="D60" s="120" t="s">
        <v>64</v>
      </c>
      <c r="E60" s="120" t="s">
        <v>73</v>
      </c>
      <c r="F60" s="120" t="s">
        <v>74</v>
      </c>
      <c r="G60" s="120"/>
      <c r="H60" s="120"/>
      <c r="I60" s="120"/>
      <c r="J60" s="165" t="str">
        <f t="shared" ref="J60:S60" si="36">IF(J49=J$4,IF(SUM(J51:J58)=1,"Ok","Check"),"")</f>
        <v/>
      </c>
      <c r="K60" s="165" t="str">
        <f t="shared" si="36"/>
        <v/>
      </c>
      <c r="L60" s="165" t="str">
        <f t="shared" si="36"/>
        <v/>
      </c>
      <c r="M60" s="165" t="str">
        <f t="shared" si="36"/>
        <v/>
      </c>
      <c r="N60" s="165" t="str">
        <f t="shared" si="36"/>
        <v/>
      </c>
      <c r="O60" s="165" t="str">
        <f t="shared" si="36"/>
        <v/>
      </c>
      <c r="P60" s="165" t="str">
        <f t="shared" si="36"/>
        <v>Ok</v>
      </c>
      <c r="Q60" s="165" t="str">
        <f t="shared" si="36"/>
        <v>Ok</v>
      </c>
      <c r="R60" s="165" t="str">
        <f t="shared" si="36"/>
        <v>Ok</v>
      </c>
      <c r="S60" s="165" t="str">
        <f t="shared" si="36"/>
        <v>Ok</v>
      </c>
      <c r="T60" s="165" t="str">
        <f>IF(T49=T$4,IF(SUM(T51:T58)=1,"Ok","Check"),"")</f>
        <v>Ok</v>
      </c>
      <c r="U60" s="165" t="str">
        <f>IF(U49=U$4,IF(SUM(U51:U58)=1,"Ok","Check"),"")</f>
        <v/>
      </c>
      <c r="V60" s="166"/>
      <c r="W60" s="17"/>
      <c r="X60" s="81" t="str">
        <f>IF(COUNTIF(J60:U60,"Check")=0,"Ok","Check")</f>
        <v>Ok</v>
      </c>
    </row>
    <row r="61" spans="1:34">
      <c r="A61" s="17"/>
      <c r="B61" s="17"/>
      <c r="C61" s="17"/>
      <c r="D61" s="120"/>
      <c r="E61" s="120"/>
      <c r="F61" s="120"/>
      <c r="G61" s="120"/>
      <c r="H61" s="120"/>
      <c r="I61" s="120"/>
      <c r="J61" s="120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34" customFormat="1" ht="13.15">
      <c r="A62" s="32"/>
      <c r="B62" s="38" t="s">
        <v>79</v>
      </c>
      <c r="C62" s="32"/>
      <c r="D62" s="32"/>
      <c r="E62" s="32"/>
      <c r="F62" s="118"/>
      <c r="G62" s="118"/>
      <c r="H62" s="118"/>
      <c r="I62" s="118"/>
      <c r="J62" s="118"/>
      <c r="K62" s="34"/>
      <c r="L62" s="119"/>
      <c r="M62" s="34"/>
      <c r="N62" s="119"/>
      <c r="O62" s="34"/>
      <c r="P62" s="34"/>
      <c r="Q62" s="34"/>
      <c r="R62" s="34"/>
      <c r="S62" s="34"/>
      <c r="T62" s="34"/>
      <c r="U62" s="34"/>
      <c r="V62" s="34"/>
      <c r="W62" s="34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7"/>
      <c r="B63" s="17"/>
      <c r="C63" s="17"/>
      <c r="D63" s="120"/>
      <c r="E63" s="120"/>
      <c r="F63" s="120"/>
      <c r="G63" s="121"/>
      <c r="H63" s="121"/>
      <c r="I63" s="120"/>
      <c r="J63" s="12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34" outlineLevel="1">
      <c r="A64" s="17"/>
      <c r="B64" s="17"/>
      <c r="C64" s="122" t="s">
        <v>80</v>
      </c>
      <c r="D64" s="121" t="s">
        <v>33</v>
      </c>
      <c r="E64" s="121" t="s">
        <v>56</v>
      </c>
      <c r="F64" s="121" t="s">
        <v>62</v>
      </c>
      <c r="G64" s="121"/>
      <c r="H64" s="121"/>
      <c r="I64" s="120"/>
      <c r="J64" s="138" t="str">
        <f t="shared" ref="J64:U64" si="37">IF(YEAR(J$4)&gt;=PPLastYear,IF(YEAR(J$4)&lt;=FPLastYear,J$4,""),"")</f>
        <v/>
      </c>
      <c r="K64" s="138" t="str">
        <f t="shared" si="37"/>
        <v/>
      </c>
      <c r="L64" s="138" t="str">
        <f t="shared" si="37"/>
        <v/>
      </c>
      <c r="M64" s="138" t="str">
        <f t="shared" si="37"/>
        <v/>
      </c>
      <c r="N64" s="138" t="str">
        <f t="shared" si="37"/>
        <v/>
      </c>
      <c r="O64" s="138">
        <f t="shared" si="37"/>
        <v>46174</v>
      </c>
      <c r="P64" s="138">
        <f t="shared" si="37"/>
        <v>46539</v>
      </c>
      <c r="Q64" s="138">
        <f t="shared" si="37"/>
        <v>46905</v>
      </c>
      <c r="R64" s="138">
        <f t="shared" si="37"/>
        <v>47270</v>
      </c>
      <c r="S64" s="138">
        <f t="shared" si="37"/>
        <v>47635</v>
      </c>
      <c r="T64" s="138">
        <f t="shared" si="37"/>
        <v>48000</v>
      </c>
      <c r="U64" s="138" t="str">
        <f t="shared" si="37"/>
        <v/>
      </c>
      <c r="V64" s="17"/>
      <c r="W64" s="17"/>
    </row>
    <row r="65" spans="1:24" outlineLevel="1">
      <c r="A65" s="17"/>
      <c r="B65" s="17"/>
      <c r="C65" s="125"/>
      <c r="D65" s="120"/>
      <c r="E65" s="120"/>
      <c r="F65" s="120"/>
      <c r="G65" s="121"/>
      <c r="H65" s="121"/>
      <c r="I65" s="120"/>
      <c r="J65" s="120"/>
      <c r="K65" s="126"/>
      <c r="L65" s="126"/>
      <c r="M65" s="126"/>
      <c r="N65" s="126"/>
      <c r="O65" s="126"/>
      <c r="P65" s="17"/>
      <c r="Q65" s="17"/>
      <c r="R65" s="17"/>
      <c r="S65" s="17"/>
      <c r="T65" s="17"/>
      <c r="U65" s="17"/>
      <c r="V65" s="17"/>
      <c r="W65" s="17"/>
    </row>
    <row r="66" spans="1:24" outlineLevel="1">
      <c r="A66" s="17"/>
      <c r="B66" s="17"/>
      <c r="C66" s="127" t="s">
        <v>81</v>
      </c>
      <c r="D66" s="120" t="s">
        <v>70</v>
      </c>
      <c r="E66" s="120" t="s">
        <v>82</v>
      </c>
      <c r="F66" s="120" t="s">
        <v>74</v>
      </c>
      <c r="G66" s="121"/>
      <c r="H66" s="121"/>
      <c r="I66" s="120"/>
      <c r="J66" s="157"/>
      <c r="K66" s="169"/>
      <c r="L66" s="169"/>
      <c r="M66" s="169"/>
      <c r="N66" s="169"/>
      <c r="O66" s="213">
        <v>149503.9656536933</v>
      </c>
      <c r="P66" s="213">
        <v>143225.57505697914</v>
      </c>
      <c r="Q66" s="213">
        <v>133765.98503665091</v>
      </c>
      <c r="R66" s="213">
        <v>123598.77221128459</v>
      </c>
      <c r="S66" s="213">
        <v>113288.7103947111</v>
      </c>
      <c r="T66" s="213">
        <v>103368.3793805781</v>
      </c>
      <c r="U66" s="141"/>
      <c r="V66" s="17"/>
      <c r="W66" s="17"/>
    </row>
    <row r="67" spans="1:24" outlineLevel="1">
      <c r="A67" s="17"/>
      <c r="B67" s="17"/>
      <c r="C67" s="127" t="s">
        <v>83</v>
      </c>
      <c r="D67" s="120" t="s">
        <v>70</v>
      </c>
      <c r="E67" s="120" t="s">
        <v>82</v>
      </c>
      <c r="F67" s="120" t="s">
        <v>74</v>
      </c>
      <c r="G67" s="121"/>
      <c r="H67" s="121"/>
      <c r="I67" s="120"/>
      <c r="J67" s="157"/>
      <c r="K67" s="169"/>
      <c r="L67" s="169"/>
      <c r="M67" s="169"/>
      <c r="N67" s="169"/>
      <c r="O67" s="213">
        <v>4821.9005651160487</v>
      </c>
      <c r="P67" s="213">
        <v>4826.8128154017732</v>
      </c>
      <c r="Q67" s="213">
        <v>4831.5171258975006</v>
      </c>
      <c r="R67" s="213">
        <v>4836.2980457895428</v>
      </c>
      <c r="S67" s="213">
        <v>4841.0789656815841</v>
      </c>
      <c r="T67" s="213">
        <v>4845.8051645762598</v>
      </c>
      <c r="U67" s="141"/>
      <c r="V67" s="17"/>
      <c r="W67" s="17"/>
    </row>
    <row r="68" spans="1:24" outlineLevel="1">
      <c r="A68" s="17"/>
      <c r="B68" s="17"/>
      <c r="C68" s="127"/>
      <c r="D68" s="120" t="s">
        <v>70</v>
      </c>
      <c r="E68" s="120" t="s">
        <v>82</v>
      </c>
      <c r="F68" s="120" t="s">
        <v>74</v>
      </c>
      <c r="G68" s="121"/>
      <c r="H68" s="121"/>
      <c r="I68" s="120"/>
      <c r="J68" s="157"/>
      <c r="K68" s="169"/>
      <c r="L68" s="169"/>
      <c r="M68" s="169"/>
      <c r="N68" s="169"/>
      <c r="O68" s="141"/>
      <c r="P68" s="141"/>
      <c r="Q68" s="141"/>
      <c r="R68" s="141"/>
      <c r="S68" s="141"/>
      <c r="T68" s="141"/>
      <c r="U68" s="141"/>
      <c r="V68" s="17"/>
      <c r="W68" s="17"/>
    </row>
    <row r="69" spans="1:24" outlineLevel="1">
      <c r="A69" s="17"/>
      <c r="B69" s="17"/>
      <c r="C69" s="127"/>
      <c r="D69" s="120" t="s">
        <v>70</v>
      </c>
      <c r="E69" s="120" t="s">
        <v>82</v>
      </c>
      <c r="F69" s="120" t="s">
        <v>74</v>
      </c>
      <c r="G69" s="121"/>
      <c r="H69" s="121"/>
      <c r="I69" s="120"/>
      <c r="J69" s="157"/>
      <c r="K69" s="169"/>
      <c r="L69" s="169"/>
      <c r="M69" s="169"/>
      <c r="N69" s="169"/>
      <c r="O69" s="141"/>
      <c r="P69" s="141"/>
      <c r="Q69" s="141"/>
      <c r="R69" s="141"/>
      <c r="S69" s="141"/>
      <c r="T69" s="141"/>
      <c r="U69" s="141"/>
      <c r="V69" s="17"/>
      <c r="W69" s="17"/>
    </row>
    <row r="70" spans="1:24" outlineLevel="1">
      <c r="A70" s="17"/>
      <c r="B70" s="17"/>
      <c r="C70" s="127"/>
      <c r="D70" s="120" t="s">
        <v>70</v>
      </c>
      <c r="E70" s="120" t="s">
        <v>82</v>
      </c>
      <c r="F70" s="120" t="s">
        <v>74</v>
      </c>
      <c r="G70" s="121"/>
      <c r="H70" s="121"/>
      <c r="I70" s="120"/>
      <c r="J70" s="157"/>
      <c r="K70" s="169"/>
      <c r="L70" s="169"/>
      <c r="M70" s="169"/>
      <c r="N70" s="169"/>
      <c r="O70" s="141"/>
      <c r="P70" s="141"/>
      <c r="Q70" s="141"/>
      <c r="R70" s="141"/>
      <c r="S70" s="141"/>
      <c r="T70" s="141"/>
      <c r="U70" s="141"/>
      <c r="V70" s="17"/>
      <c r="W70" s="17"/>
    </row>
    <row r="71" spans="1:24" outlineLevel="1">
      <c r="A71" s="17"/>
      <c r="B71" s="17"/>
      <c r="C71" s="127"/>
      <c r="D71" s="120" t="s">
        <v>70</v>
      </c>
      <c r="E71" s="120" t="s">
        <v>82</v>
      </c>
      <c r="F71" s="120" t="s">
        <v>74</v>
      </c>
      <c r="G71" s="121"/>
      <c r="H71" s="121"/>
      <c r="I71" s="120"/>
      <c r="J71" s="157"/>
      <c r="K71" s="169"/>
      <c r="L71" s="169"/>
      <c r="M71" s="169"/>
      <c r="N71" s="169"/>
      <c r="O71" s="141"/>
      <c r="P71" s="141"/>
      <c r="Q71" s="141"/>
      <c r="R71" s="141"/>
      <c r="S71" s="141"/>
      <c r="T71" s="141"/>
      <c r="U71" s="141"/>
      <c r="V71" s="17"/>
      <c r="W71" s="17"/>
    </row>
    <row r="72" spans="1:24" outlineLevel="1">
      <c r="A72" s="17"/>
      <c r="B72" s="17"/>
      <c r="C72" s="125"/>
      <c r="D72" s="120"/>
      <c r="E72" s="120"/>
      <c r="F72" s="120"/>
      <c r="G72" s="121"/>
      <c r="H72" s="121"/>
      <c r="I72" s="120"/>
      <c r="J72" s="120"/>
      <c r="K72" s="126"/>
      <c r="L72" s="126"/>
      <c r="M72" s="126"/>
      <c r="N72" s="126"/>
      <c r="O72" s="126"/>
      <c r="P72" s="17"/>
      <c r="Q72" s="17"/>
      <c r="R72" s="17"/>
      <c r="S72" s="17"/>
      <c r="T72" s="17"/>
      <c r="U72" s="17"/>
      <c r="V72" s="17"/>
      <c r="W72" s="17"/>
    </row>
    <row r="73" spans="1:24" outlineLevel="1">
      <c r="A73" s="17"/>
      <c r="B73" s="17"/>
      <c r="C73" s="17" t="s">
        <v>72</v>
      </c>
      <c r="D73" s="120" t="s">
        <v>64</v>
      </c>
      <c r="E73" s="120" t="s">
        <v>73</v>
      </c>
      <c r="F73" s="120" t="s">
        <v>74</v>
      </c>
      <c r="G73" s="120"/>
      <c r="H73" s="120"/>
      <c r="I73" s="120"/>
      <c r="J73" s="165" t="str">
        <f t="shared" ref="J73:S73" si="38">IF(J64=J$4,IF(COUNTA($C66:$C71)=COUNT(J66:J71),"Ok","Check"),"")</f>
        <v/>
      </c>
      <c r="K73" s="165" t="str">
        <f t="shared" si="38"/>
        <v/>
      </c>
      <c r="L73" s="165" t="str">
        <f t="shared" si="38"/>
        <v/>
      </c>
      <c r="M73" s="165" t="str">
        <f t="shared" si="38"/>
        <v/>
      </c>
      <c r="N73" s="165" t="str">
        <f t="shared" si="38"/>
        <v/>
      </c>
      <c r="O73" s="165" t="str">
        <f t="shared" si="38"/>
        <v>Ok</v>
      </c>
      <c r="P73" s="165" t="str">
        <f t="shared" si="38"/>
        <v>Ok</v>
      </c>
      <c r="Q73" s="165" t="str">
        <f t="shared" si="38"/>
        <v>Ok</v>
      </c>
      <c r="R73" s="165" t="str">
        <f t="shared" si="38"/>
        <v>Ok</v>
      </c>
      <c r="S73" s="165" t="str">
        <f t="shared" si="38"/>
        <v>Ok</v>
      </c>
      <c r="T73" s="165" t="str">
        <f>IF(T64=T$4,IF(COUNTA($C66:$C71)=COUNT(T66:T71),"Ok","Check"),"")</f>
        <v>Ok</v>
      </c>
      <c r="U73" s="165" t="str">
        <f>IF(U64=U$4,IF(COUNTA($C66:$C71)=COUNT(U66:U71),"Ok","Check"),"")</f>
        <v/>
      </c>
      <c r="V73" s="166"/>
      <c r="W73" s="17"/>
      <c r="X73" s="81" t="str">
        <f>IF(COUNTIF(J73:U73,"Check")=0,"Ok","Check")</f>
        <v>Ok</v>
      </c>
    </row>
    <row r="74" spans="1:24" outlineLevel="1">
      <c r="A74" s="17"/>
      <c r="B74" s="17"/>
      <c r="C74" s="125"/>
      <c r="D74" s="120"/>
      <c r="E74" s="120"/>
      <c r="F74" s="120"/>
      <c r="G74" s="121"/>
      <c r="H74" s="121"/>
      <c r="I74" s="120"/>
      <c r="J74" s="120"/>
      <c r="K74" s="126"/>
      <c r="L74" s="126"/>
      <c r="M74" s="126"/>
      <c r="N74" s="126"/>
      <c r="O74" s="126"/>
      <c r="P74" s="17"/>
      <c r="Q74" s="17"/>
      <c r="R74" s="17"/>
      <c r="S74" s="17"/>
      <c r="T74" s="17"/>
      <c r="U74" s="17"/>
      <c r="V74" s="17"/>
      <c r="W74" s="17"/>
    </row>
    <row r="75" spans="1:24" outlineLevel="1">
      <c r="A75" s="17"/>
      <c r="B75" s="17"/>
      <c r="C75" s="122" t="s">
        <v>84</v>
      </c>
      <c r="D75" s="121" t="s">
        <v>33</v>
      </c>
      <c r="E75" s="121" t="s">
        <v>56</v>
      </c>
      <c r="F75" s="121" t="s">
        <v>62</v>
      </c>
      <c r="G75" s="121"/>
      <c r="H75" s="121"/>
      <c r="I75" s="120"/>
      <c r="J75" s="138" t="str">
        <f t="shared" ref="J75:U75" si="39">IF(YEAR(J$4)&gt;=FPFirstYear,IF(YEAR(J$4)&lt;=FPLastYear,J$4,""),"")</f>
        <v/>
      </c>
      <c r="K75" s="138" t="str">
        <f t="shared" si="39"/>
        <v/>
      </c>
      <c r="L75" s="138" t="str">
        <f t="shared" si="39"/>
        <v/>
      </c>
      <c r="M75" s="138" t="str">
        <f t="shared" si="39"/>
        <v/>
      </c>
      <c r="N75" s="138" t="str">
        <f t="shared" si="39"/>
        <v/>
      </c>
      <c r="O75" s="138" t="str">
        <f t="shared" si="39"/>
        <v/>
      </c>
      <c r="P75" s="138">
        <f t="shared" si="39"/>
        <v>46539</v>
      </c>
      <c r="Q75" s="138">
        <f t="shared" si="39"/>
        <v>46905</v>
      </c>
      <c r="R75" s="138">
        <f t="shared" si="39"/>
        <v>47270</v>
      </c>
      <c r="S75" s="138">
        <f t="shared" si="39"/>
        <v>47635</v>
      </c>
      <c r="T75" s="138">
        <f t="shared" si="39"/>
        <v>48000</v>
      </c>
      <c r="U75" s="138" t="str">
        <f t="shared" si="39"/>
        <v/>
      </c>
      <c r="V75" s="17" t="str">
        <f>IF(RIGHT(V$4,2)&gt;=RIGHT('Input|General'!$G$13,2),IF(RIGHT(V$4,2)&lt;='Input|General'!$G$14,'Input|Reported opex'!U$4,""),"")</f>
        <v/>
      </c>
      <c r="W75" s="17"/>
    </row>
    <row r="76" spans="1:24" outlineLevel="1">
      <c r="A76" s="17"/>
      <c r="B76" s="17"/>
      <c r="C76" s="125"/>
      <c r="D76" s="120"/>
      <c r="E76" s="120"/>
      <c r="F76" s="120"/>
      <c r="G76" s="121"/>
      <c r="H76" s="121"/>
      <c r="I76" s="120"/>
      <c r="J76" s="120"/>
      <c r="K76" s="126"/>
      <c r="L76" s="126"/>
      <c r="M76" s="126"/>
      <c r="N76" s="126"/>
      <c r="O76" s="126"/>
      <c r="P76" s="17"/>
      <c r="Q76" s="17"/>
      <c r="R76" s="17"/>
      <c r="S76" s="17"/>
      <c r="T76" s="17"/>
      <c r="U76" s="17"/>
      <c r="V76" s="17"/>
      <c r="W76" s="17"/>
    </row>
    <row r="77" spans="1:24" outlineLevel="1">
      <c r="A77" s="17"/>
      <c r="B77" s="17"/>
      <c r="C77" s="167" t="str">
        <f>C66</f>
        <v>Customer numbers (#) (CIE forecast)</v>
      </c>
      <c r="D77" s="120" t="s">
        <v>64</v>
      </c>
      <c r="E77" s="120" t="s">
        <v>82</v>
      </c>
      <c r="F77" s="120" t="s">
        <v>74</v>
      </c>
      <c r="G77" s="121"/>
      <c r="H77" s="121"/>
      <c r="I77" s="120"/>
      <c r="J77" s="170" t="str">
        <f t="shared" ref="J77:M77" si="40">IF(ISBLANK(I66),"",IF(ISBLANK(J66),"",LN(J66)-LN(I66)))</f>
        <v/>
      </c>
      <c r="K77" s="170" t="str">
        <f t="shared" si="40"/>
        <v/>
      </c>
      <c r="L77" s="170" t="str">
        <f t="shared" si="40"/>
        <v/>
      </c>
      <c r="M77" s="170" t="str">
        <f t="shared" si="40"/>
        <v/>
      </c>
      <c r="N77" s="170" t="str">
        <f>IF(ISBLANK(M66),"",IF(ISBLANK(N66),"",LN(N66)-LN(M66)))</f>
        <v/>
      </c>
      <c r="O77" s="170" t="str">
        <f t="shared" ref="O77:U77" si="41">IF(ISBLANK(N66),"",IF(ISBLANK(O66),"",LN(O66)-LN(N66)))</f>
        <v/>
      </c>
      <c r="P77" s="170">
        <f>IF(ISBLANK(O66),"",IF(ISBLANK(P66),"",LN(P66)-LN(O66)))</f>
        <v>-4.2902083243934186E-2</v>
      </c>
      <c r="Q77" s="170">
        <f t="shared" si="41"/>
        <v>-6.8328942419087824E-2</v>
      </c>
      <c r="R77" s="170">
        <f t="shared" si="41"/>
        <v>-7.9051281518975003E-2</v>
      </c>
      <c r="S77" s="170">
        <f t="shared" si="41"/>
        <v>-8.7101091810589892E-2</v>
      </c>
      <c r="T77" s="170">
        <f>IF(ISBLANK(S66),"",IF(ISBLANK(T66),"",LN(T66)-LN(S66)))</f>
        <v>-9.1640412991161213E-2</v>
      </c>
      <c r="U77" s="170" t="str">
        <f t="shared" si="41"/>
        <v/>
      </c>
      <c r="V77" s="17"/>
      <c r="W77" s="17"/>
    </row>
    <row r="78" spans="1:24" outlineLevel="1">
      <c r="A78" s="17"/>
      <c r="B78" s="17"/>
      <c r="C78" s="167" t="str">
        <f t="shared" ref="C78:C82" si="42">C67</f>
        <v>Mains Length (km)</v>
      </c>
      <c r="D78" s="120" t="s">
        <v>64</v>
      </c>
      <c r="E78" s="120" t="s">
        <v>82</v>
      </c>
      <c r="F78" s="120" t="s">
        <v>74</v>
      </c>
      <c r="G78" s="121"/>
      <c r="H78" s="121"/>
      <c r="I78" s="120"/>
      <c r="J78" s="170" t="str">
        <f t="shared" ref="J78:U78" si="43">IF(ISBLANK(I67),"",IF(ISBLANK(J67),"",LN(J67)-LN(I67)))</f>
        <v/>
      </c>
      <c r="K78" s="170" t="str">
        <f t="shared" si="43"/>
        <v/>
      </c>
      <c r="L78" s="170" t="str">
        <f t="shared" si="43"/>
        <v/>
      </c>
      <c r="M78" s="170" t="str">
        <f t="shared" si="43"/>
        <v/>
      </c>
      <c r="N78" s="170" t="str">
        <f t="shared" si="43"/>
        <v/>
      </c>
      <c r="O78" s="170" t="str">
        <f t="shared" si="43"/>
        <v/>
      </c>
      <c r="P78" s="170">
        <f>IF(ISBLANK(O67),"",IF(ISBLANK(P67),"",LN(P67)-LN(O67)))</f>
        <v>1.0182188062621833E-3</v>
      </c>
      <c r="Q78" s="170">
        <f t="shared" si="43"/>
        <v>9.7414581948029877E-4</v>
      </c>
      <c r="R78" s="170">
        <f t="shared" si="43"/>
        <v>9.8903841185737917E-4</v>
      </c>
      <c r="S78" s="170">
        <f t="shared" si="43"/>
        <v>9.880611813155582E-4</v>
      </c>
      <c r="T78" s="170">
        <f t="shared" si="43"/>
        <v>9.757934968845916E-4</v>
      </c>
      <c r="U78" s="170" t="str">
        <f t="shared" si="43"/>
        <v/>
      </c>
      <c r="V78" s="17"/>
      <c r="W78" s="17"/>
    </row>
    <row r="79" spans="1:24" outlineLevel="1">
      <c r="A79" s="17"/>
      <c r="B79" s="17"/>
      <c r="C79" s="167">
        <f t="shared" si="42"/>
        <v>0</v>
      </c>
      <c r="D79" s="120" t="s">
        <v>64</v>
      </c>
      <c r="E79" s="120" t="s">
        <v>82</v>
      </c>
      <c r="F79" s="120" t="s">
        <v>74</v>
      </c>
      <c r="G79" s="121"/>
      <c r="H79" s="121"/>
      <c r="I79" s="120"/>
      <c r="J79" s="170" t="str">
        <f t="shared" ref="J79:U79" si="44">IF(ISBLANK(I68),"",IF(ISBLANK(J68),"",LN(J68)-LN(I68)))</f>
        <v/>
      </c>
      <c r="K79" s="170" t="str">
        <f t="shared" si="44"/>
        <v/>
      </c>
      <c r="L79" s="170" t="str">
        <f t="shared" si="44"/>
        <v/>
      </c>
      <c r="M79" s="170" t="str">
        <f t="shared" si="44"/>
        <v/>
      </c>
      <c r="N79" s="170" t="str">
        <f t="shared" si="44"/>
        <v/>
      </c>
      <c r="O79" s="170" t="str">
        <f t="shared" si="44"/>
        <v/>
      </c>
      <c r="P79" s="170" t="str">
        <f t="shared" si="44"/>
        <v/>
      </c>
      <c r="Q79" s="170" t="str">
        <f t="shared" si="44"/>
        <v/>
      </c>
      <c r="R79" s="170" t="str">
        <f t="shared" si="44"/>
        <v/>
      </c>
      <c r="S79" s="170" t="str">
        <f t="shared" si="44"/>
        <v/>
      </c>
      <c r="T79" s="170" t="str">
        <f t="shared" si="44"/>
        <v/>
      </c>
      <c r="U79" s="170" t="str">
        <f t="shared" si="44"/>
        <v/>
      </c>
      <c r="V79" s="17"/>
      <c r="W79" s="17"/>
    </row>
    <row r="80" spans="1:24" outlineLevel="1">
      <c r="A80" s="17"/>
      <c r="B80" s="17"/>
      <c r="C80" s="167">
        <f t="shared" si="42"/>
        <v>0</v>
      </c>
      <c r="D80" s="120" t="s">
        <v>64</v>
      </c>
      <c r="E80" s="120" t="s">
        <v>82</v>
      </c>
      <c r="F80" s="120" t="s">
        <v>74</v>
      </c>
      <c r="G80" s="121"/>
      <c r="H80" s="121"/>
      <c r="I80" s="120"/>
      <c r="J80" s="170" t="str">
        <f t="shared" ref="J80:U80" si="45">IF(ISBLANK(I69),"",IF(ISBLANK(J69),"",LN(J69)-LN(I69)))</f>
        <v/>
      </c>
      <c r="K80" s="170" t="str">
        <f t="shared" si="45"/>
        <v/>
      </c>
      <c r="L80" s="170" t="str">
        <f t="shared" si="45"/>
        <v/>
      </c>
      <c r="M80" s="170" t="str">
        <f t="shared" si="45"/>
        <v/>
      </c>
      <c r="N80" s="170" t="str">
        <f t="shared" si="45"/>
        <v/>
      </c>
      <c r="O80" s="170" t="str">
        <f t="shared" si="45"/>
        <v/>
      </c>
      <c r="P80" s="170" t="str">
        <f t="shared" si="45"/>
        <v/>
      </c>
      <c r="Q80" s="170" t="str">
        <f t="shared" si="45"/>
        <v/>
      </c>
      <c r="R80" s="170" t="str">
        <f t="shared" si="45"/>
        <v/>
      </c>
      <c r="S80" s="170" t="str">
        <f t="shared" si="45"/>
        <v/>
      </c>
      <c r="T80" s="170" t="str">
        <f t="shared" si="45"/>
        <v/>
      </c>
      <c r="U80" s="170" t="str">
        <f t="shared" si="45"/>
        <v/>
      </c>
      <c r="V80" s="17"/>
      <c r="W80" s="17"/>
    </row>
    <row r="81" spans="1:24" outlineLevel="1">
      <c r="A81" s="17"/>
      <c r="B81" s="17"/>
      <c r="C81" s="167">
        <f t="shared" si="42"/>
        <v>0</v>
      </c>
      <c r="D81" s="120" t="s">
        <v>64</v>
      </c>
      <c r="E81" s="120" t="s">
        <v>82</v>
      </c>
      <c r="F81" s="120" t="s">
        <v>74</v>
      </c>
      <c r="G81" s="121"/>
      <c r="H81" s="121"/>
      <c r="I81" s="120"/>
      <c r="J81" s="170" t="str">
        <f t="shared" ref="J81:T81" si="46">IF(ISBLANK(I70),"",IF(ISBLANK(J70),"",LN(J70)-LN(I70)))</f>
        <v/>
      </c>
      <c r="K81" s="170" t="str">
        <f t="shared" si="46"/>
        <v/>
      </c>
      <c r="L81" s="170" t="str">
        <f t="shared" si="46"/>
        <v/>
      </c>
      <c r="M81" s="170" t="str">
        <f t="shared" si="46"/>
        <v/>
      </c>
      <c r="N81" s="170" t="str">
        <f t="shared" si="46"/>
        <v/>
      </c>
      <c r="O81" s="170" t="str">
        <f t="shared" si="46"/>
        <v/>
      </c>
      <c r="P81" s="170" t="str">
        <f t="shared" si="46"/>
        <v/>
      </c>
      <c r="Q81" s="170" t="str">
        <f t="shared" si="46"/>
        <v/>
      </c>
      <c r="R81" s="170" t="str">
        <f t="shared" si="46"/>
        <v/>
      </c>
      <c r="S81" s="170" t="str">
        <f t="shared" si="46"/>
        <v/>
      </c>
      <c r="T81" s="170" t="str">
        <f t="shared" si="46"/>
        <v/>
      </c>
      <c r="U81" s="170"/>
      <c r="V81" s="17"/>
      <c r="W81" s="17"/>
    </row>
    <row r="82" spans="1:24" outlineLevel="1">
      <c r="A82" s="17"/>
      <c r="B82" s="17"/>
      <c r="C82" s="167">
        <f t="shared" si="42"/>
        <v>0</v>
      </c>
      <c r="D82" s="120" t="s">
        <v>64</v>
      </c>
      <c r="E82" s="120" t="s">
        <v>82</v>
      </c>
      <c r="F82" s="120" t="s">
        <v>74</v>
      </c>
      <c r="G82" s="121"/>
      <c r="H82" s="121"/>
      <c r="I82" s="120"/>
      <c r="J82" s="170" t="str">
        <f t="shared" ref="J82:T82" si="47">IF(ISBLANK(I71),"",IF(ISBLANK(J71),"",LN(J71)-LN(I71)))</f>
        <v/>
      </c>
      <c r="K82" s="170" t="str">
        <f t="shared" si="47"/>
        <v/>
      </c>
      <c r="L82" s="170" t="str">
        <f t="shared" si="47"/>
        <v/>
      </c>
      <c r="M82" s="170" t="str">
        <f t="shared" si="47"/>
        <v/>
      </c>
      <c r="N82" s="170" t="str">
        <f t="shared" si="47"/>
        <v/>
      </c>
      <c r="O82" s="170" t="str">
        <f t="shared" si="47"/>
        <v/>
      </c>
      <c r="P82" s="170" t="str">
        <f t="shared" si="47"/>
        <v/>
      </c>
      <c r="Q82" s="170" t="str">
        <f t="shared" si="47"/>
        <v/>
      </c>
      <c r="R82" s="170" t="str">
        <f t="shared" si="47"/>
        <v/>
      </c>
      <c r="S82" s="170" t="str">
        <f t="shared" si="47"/>
        <v/>
      </c>
      <c r="T82" s="170" t="str">
        <f t="shared" si="47"/>
        <v/>
      </c>
      <c r="U82" s="170"/>
      <c r="V82" s="17"/>
      <c r="W82" s="17"/>
    </row>
    <row r="83" spans="1:24" outlineLevel="1">
      <c r="A83" s="17"/>
      <c r="B83" s="17"/>
      <c r="C83" s="125"/>
      <c r="D83" s="120"/>
      <c r="E83" s="120"/>
      <c r="F83" s="120"/>
      <c r="G83" s="121"/>
      <c r="H83" s="121"/>
      <c r="I83" s="120"/>
      <c r="J83" s="120"/>
      <c r="K83" s="126"/>
      <c r="L83" s="126"/>
      <c r="M83" s="126"/>
      <c r="N83" s="126"/>
      <c r="O83" s="126"/>
      <c r="P83" s="17"/>
      <c r="Q83" s="17"/>
      <c r="R83" s="17"/>
      <c r="S83" s="17"/>
      <c r="T83" s="17"/>
      <c r="U83" s="17"/>
      <c r="V83" s="17"/>
      <c r="W83" s="17"/>
    </row>
    <row r="84" spans="1:24" outlineLevel="1">
      <c r="A84" s="17"/>
      <c r="B84" s="17"/>
      <c r="C84" s="125"/>
      <c r="D84" s="120"/>
      <c r="E84" s="120"/>
      <c r="F84" s="120"/>
      <c r="G84" s="121"/>
      <c r="H84" s="121"/>
      <c r="I84" s="120"/>
      <c r="J84" s="120"/>
      <c r="K84" s="126"/>
      <c r="L84" s="126"/>
      <c r="M84" s="126"/>
      <c r="N84" s="126"/>
      <c r="O84" s="126"/>
      <c r="P84" s="17"/>
      <c r="Q84" s="17"/>
      <c r="R84" s="17"/>
      <c r="S84" s="17"/>
      <c r="T84" s="17"/>
      <c r="U84" s="17"/>
      <c r="V84" s="17"/>
      <c r="W84" s="17"/>
    </row>
    <row r="85" spans="1:24" outlineLevel="1">
      <c r="A85" s="17"/>
      <c r="B85" s="17"/>
      <c r="C85" s="122" t="s">
        <v>85</v>
      </c>
      <c r="D85" s="121" t="s">
        <v>33</v>
      </c>
      <c r="E85" s="121" t="s">
        <v>56</v>
      </c>
      <c r="F85" s="121" t="s">
        <v>62</v>
      </c>
      <c r="G85" s="121"/>
      <c r="H85" s="121"/>
      <c r="I85" s="120"/>
      <c r="J85" s="211" t="s">
        <v>86</v>
      </c>
      <c r="K85" s="211"/>
      <c r="L85" s="187"/>
      <c r="M85" s="187"/>
      <c r="N85" s="138"/>
      <c r="O85" s="138"/>
      <c r="P85" s="138"/>
      <c r="Q85" s="138"/>
      <c r="R85" s="138"/>
      <c r="S85" s="138"/>
      <c r="T85" s="138"/>
      <c r="U85" s="138"/>
      <c r="V85" s="17"/>
      <c r="W85" s="17"/>
    </row>
    <row r="86" spans="1:24" outlineLevel="1">
      <c r="A86" s="17"/>
      <c r="B86" s="17"/>
      <c r="C86" s="125"/>
      <c r="D86" s="120"/>
      <c r="E86" s="120"/>
      <c r="F86" s="120"/>
      <c r="G86" s="121"/>
      <c r="H86" s="121"/>
      <c r="I86" s="120"/>
      <c r="J86" s="120"/>
      <c r="K86" s="126"/>
      <c r="L86" s="126"/>
      <c r="M86" s="126"/>
      <c r="N86" s="126"/>
      <c r="O86" s="171"/>
      <c r="P86" s="171"/>
      <c r="Q86" s="171"/>
      <c r="R86" s="171"/>
      <c r="S86" s="171"/>
      <c r="T86" s="171"/>
      <c r="U86" s="171"/>
      <c r="V86" s="17"/>
      <c r="W86" s="17"/>
    </row>
    <row r="87" spans="1:24" outlineLevel="1">
      <c r="A87" s="17"/>
      <c r="B87" s="17"/>
      <c r="C87" s="167" t="s">
        <v>87</v>
      </c>
      <c r="D87" s="120" t="s">
        <v>88</v>
      </c>
      <c r="E87" s="120" t="str">
        <f t="shared" ref="E87:E92" si="48">percent</f>
        <v>Per cent</v>
      </c>
      <c r="F87" s="120" t="s">
        <v>74</v>
      </c>
      <c r="G87" s="121"/>
      <c r="H87" s="121"/>
      <c r="I87" s="120"/>
      <c r="J87" s="188">
        <v>0.1</v>
      </c>
      <c r="K87" s="188"/>
      <c r="L87" s="188"/>
      <c r="M87" s="188"/>
      <c r="N87" s="172"/>
      <c r="O87" s="172"/>
      <c r="P87" s="172"/>
      <c r="Q87" s="172"/>
      <c r="R87" s="172"/>
      <c r="S87" s="172"/>
      <c r="T87" s="172"/>
      <c r="U87" s="172"/>
      <c r="V87" s="17"/>
      <c r="W87" s="17"/>
    </row>
    <row r="88" spans="1:24" outlineLevel="1">
      <c r="A88" s="17"/>
      <c r="B88" s="17"/>
      <c r="C88" s="167" t="s">
        <v>89</v>
      </c>
      <c r="D88" s="120" t="s">
        <v>88</v>
      </c>
      <c r="E88" s="120" t="str">
        <f t="shared" si="48"/>
        <v>Per cent</v>
      </c>
      <c r="F88" s="120" t="s">
        <v>74</v>
      </c>
      <c r="G88" s="121"/>
      <c r="H88" s="121"/>
      <c r="I88" s="120"/>
      <c r="J88" s="188">
        <f>1-J87</f>
        <v>0.9</v>
      </c>
      <c r="K88" s="188"/>
      <c r="L88" s="188"/>
      <c r="M88" s="188"/>
      <c r="N88" s="172"/>
      <c r="O88" s="172"/>
      <c r="P88" s="172"/>
      <c r="Q88" s="172"/>
      <c r="R88" s="172"/>
      <c r="S88" s="172"/>
      <c r="T88" s="172"/>
      <c r="U88" s="172"/>
      <c r="V88" s="17"/>
      <c r="W88" s="17"/>
    </row>
    <row r="89" spans="1:24" outlineLevel="1">
      <c r="A89" s="17"/>
      <c r="B89" s="17"/>
      <c r="C89" s="167">
        <f t="shared" ref="C89:C92" si="49">C68</f>
        <v>0</v>
      </c>
      <c r="D89" s="120" t="s">
        <v>64</v>
      </c>
      <c r="E89" s="120" t="str">
        <f t="shared" si="48"/>
        <v>Per cent</v>
      </c>
      <c r="F89" s="120" t="s">
        <v>74</v>
      </c>
      <c r="G89" s="121"/>
      <c r="H89" s="121"/>
      <c r="I89" s="120"/>
      <c r="J89" s="188"/>
      <c r="K89" s="188"/>
      <c r="L89" s="188"/>
      <c r="M89" s="188"/>
      <c r="N89" s="172"/>
      <c r="O89" s="172"/>
      <c r="P89" s="172"/>
      <c r="Q89" s="172"/>
      <c r="R89" s="172"/>
      <c r="S89" s="172"/>
      <c r="T89" s="172"/>
      <c r="U89" s="172"/>
      <c r="V89" s="17"/>
      <c r="W89" s="17"/>
    </row>
    <row r="90" spans="1:24" outlineLevel="1">
      <c r="A90" s="17"/>
      <c r="B90" s="17"/>
      <c r="C90" s="167">
        <f t="shared" si="49"/>
        <v>0</v>
      </c>
      <c r="D90" s="120" t="s">
        <v>64</v>
      </c>
      <c r="E90" s="120" t="str">
        <f t="shared" si="48"/>
        <v>Per cent</v>
      </c>
      <c r="F90" s="120" t="s">
        <v>74</v>
      </c>
      <c r="G90" s="121"/>
      <c r="H90" s="121"/>
      <c r="I90" s="120"/>
      <c r="J90" s="188"/>
      <c r="K90" s="188"/>
      <c r="L90" s="188"/>
      <c r="M90" s="188"/>
      <c r="N90" s="172"/>
      <c r="O90" s="172"/>
      <c r="P90" s="172"/>
      <c r="Q90" s="172"/>
      <c r="R90" s="172"/>
      <c r="S90" s="172"/>
      <c r="T90" s="172"/>
      <c r="U90" s="172"/>
      <c r="V90" s="17"/>
      <c r="W90" s="17"/>
    </row>
    <row r="91" spans="1:24" outlineLevel="1">
      <c r="A91" s="17"/>
      <c r="B91" s="17"/>
      <c r="C91" s="167">
        <f t="shared" si="49"/>
        <v>0</v>
      </c>
      <c r="D91" s="120" t="s">
        <v>64</v>
      </c>
      <c r="E91" s="120" t="str">
        <f t="shared" si="48"/>
        <v>Per cent</v>
      </c>
      <c r="F91" s="120" t="s">
        <v>74</v>
      </c>
      <c r="G91" s="121"/>
      <c r="H91" s="121"/>
      <c r="I91" s="120"/>
      <c r="J91" s="188"/>
      <c r="K91" s="188"/>
      <c r="L91" s="188"/>
      <c r="M91" s="188"/>
      <c r="N91" s="172"/>
      <c r="O91" s="172"/>
      <c r="P91" s="172"/>
      <c r="Q91" s="172"/>
      <c r="R91" s="172"/>
      <c r="S91" s="172"/>
      <c r="T91" s="172"/>
      <c r="U91" s="172"/>
      <c r="V91" s="17"/>
      <c r="W91" s="17"/>
    </row>
    <row r="92" spans="1:24" outlineLevel="1">
      <c r="A92" s="17"/>
      <c r="B92" s="17"/>
      <c r="C92" s="167">
        <f t="shared" si="49"/>
        <v>0</v>
      </c>
      <c r="D92" s="120" t="s">
        <v>64</v>
      </c>
      <c r="E92" s="120" t="str">
        <f t="shared" si="48"/>
        <v>Per cent</v>
      </c>
      <c r="F92" s="120" t="s">
        <v>74</v>
      </c>
      <c r="G92" s="121"/>
      <c r="H92" s="121"/>
      <c r="I92" s="120"/>
      <c r="J92" s="188"/>
      <c r="K92" s="188"/>
      <c r="L92" s="188"/>
      <c r="M92" s="188"/>
      <c r="N92" s="172"/>
      <c r="O92" s="172"/>
      <c r="P92" s="172"/>
      <c r="Q92" s="172"/>
      <c r="R92" s="172"/>
      <c r="S92" s="172"/>
      <c r="T92" s="172"/>
      <c r="U92" s="172"/>
      <c r="V92" s="17"/>
      <c r="W92" s="17"/>
    </row>
    <row r="93" spans="1:24" outlineLevel="1">
      <c r="A93" s="17"/>
      <c r="B93" s="17"/>
      <c r="C93" s="17"/>
      <c r="D93" s="120"/>
      <c r="E93" s="120"/>
      <c r="F93" s="120"/>
      <c r="G93" s="121"/>
      <c r="H93" s="121"/>
      <c r="I93" s="120"/>
      <c r="J93" s="173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4" outlineLevel="1">
      <c r="A94" s="17"/>
      <c r="B94" s="17"/>
      <c r="C94" s="122" t="s">
        <v>90</v>
      </c>
      <c r="D94" s="121" t="s">
        <v>33</v>
      </c>
      <c r="E94" s="121" t="s">
        <v>56</v>
      </c>
      <c r="F94" s="121" t="s">
        <v>62</v>
      </c>
      <c r="G94" s="120"/>
      <c r="H94" s="120"/>
      <c r="I94" s="120"/>
      <c r="J94" s="138" t="str">
        <f t="shared" ref="J94:U94" si="50">IF(YEAR(J$4)&gt;=FPFirstYear,IF(YEAR(J$4)&lt;=FPLastYear,J$4,""),"")</f>
        <v/>
      </c>
      <c r="K94" s="138" t="str">
        <f t="shared" si="50"/>
        <v/>
      </c>
      <c r="L94" s="138" t="str">
        <f t="shared" si="50"/>
        <v/>
      </c>
      <c r="M94" s="138" t="str">
        <f t="shared" si="50"/>
        <v/>
      </c>
      <c r="N94" s="138" t="str">
        <f t="shared" si="50"/>
        <v/>
      </c>
      <c r="O94" s="138" t="str">
        <f t="shared" si="50"/>
        <v/>
      </c>
      <c r="P94" s="138">
        <f t="shared" si="50"/>
        <v>46539</v>
      </c>
      <c r="Q94" s="138">
        <f t="shared" si="50"/>
        <v>46905</v>
      </c>
      <c r="R94" s="138">
        <f t="shared" si="50"/>
        <v>47270</v>
      </c>
      <c r="S94" s="138">
        <f t="shared" si="50"/>
        <v>47635</v>
      </c>
      <c r="T94" s="138">
        <f t="shared" si="50"/>
        <v>48000</v>
      </c>
      <c r="U94" s="138" t="str">
        <f t="shared" si="50"/>
        <v/>
      </c>
      <c r="V94" s="166"/>
      <c r="W94" s="17"/>
      <c r="X94" s="82"/>
    </row>
    <row r="95" spans="1:24" outlineLevel="1">
      <c r="A95" s="17"/>
      <c r="B95" s="17"/>
      <c r="C95" s="17"/>
      <c r="D95" s="120"/>
      <c r="E95" s="120"/>
      <c r="F95" s="120"/>
      <c r="G95" s="120"/>
      <c r="H95" s="120"/>
      <c r="I95" s="120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6"/>
      <c r="W95" s="17"/>
      <c r="X95" s="82"/>
    </row>
    <row r="96" spans="1:24" outlineLevel="1">
      <c r="A96" s="17"/>
      <c r="B96" s="17"/>
      <c r="C96" s="167" t="str">
        <f t="array" ref="C96:C99">TRANSPOSE(J85:M85)</f>
        <v>Chosen</v>
      </c>
      <c r="D96" s="120" t="s">
        <v>64</v>
      </c>
      <c r="E96" s="120" t="s">
        <v>82</v>
      </c>
      <c r="F96" s="120" t="s">
        <v>74</v>
      </c>
      <c r="G96" s="120"/>
      <c r="H96" s="120"/>
      <c r="I96" s="120"/>
      <c r="J96" s="170" t="str">
        <f t="shared" ref="J96:U96" si="51">IF(J$94=J$4,SUMPRODUCT(J$77:J$82,$J$87:$J$92),"")</f>
        <v/>
      </c>
      <c r="K96" s="170"/>
      <c r="L96" s="170" t="str">
        <f t="shared" si="51"/>
        <v/>
      </c>
      <c r="M96" s="170" t="str">
        <f t="shared" si="51"/>
        <v/>
      </c>
      <c r="N96" s="170" t="str">
        <f t="shared" si="51"/>
        <v/>
      </c>
      <c r="O96" s="170" t="str">
        <f t="shared" si="51"/>
        <v/>
      </c>
      <c r="P96" s="170">
        <f>IF(P$94=P$4,SUMPRODUCT(P$77:P$82,$J$87:$J$92),"")</f>
        <v>-3.3738113987574537E-3</v>
      </c>
      <c r="Q96" s="170">
        <f t="shared" si="51"/>
        <v>-5.9561630043765143E-3</v>
      </c>
      <c r="R96" s="170">
        <f t="shared" si="51"/>
        <v>-7.0149935812258597E-3</v>
      </c>
      <c r="S96" s="170">
        <f t="shared" si="51"/>
        <v>-7.8208541178749879E-3</v>
      </c>
      <c r="T96" s="170">
        <f t="shared" si="51"/>
        <v>-8.2858271519199896E-3</v>
      </c>
      <c r="U96" s="170" t="str">
        <f t="shared" si="51"/>
        <v/>
      </c>
      <c r="V96" s="166"/>
      <c r="W96" s="17"/>
      <c r="X96" s="82"/>
    </row>
    <row r="97" spans="1:34" outlineLevel="1">
      <c r="A97" s="17"/>
      <c r="B97" s="17"/>
      <c r="C97" s="167">
        <v>0</v>
      </c>
      <c r="D97" s="120" t="s">
        <v>64</v>
      </c>
      <c r="E97" s="120" t="s">
        <v>82</v>
      </c>
      <c r="F97" s="120" t="s">
        <v>74</v>
      </c>
      <c r="G97" s="120"/>
      <c r="H97" s="120"/>
      <c r="I97" s="120"/>
      <c r="J97" s="170" t="str">
        <f t="shared" ref="J97:U97" si="52">IF(J$94=J$4,SUMPRODUCT(J$77:J$82,$K$87:$K$92),"")</f>
        <v/>
      </c>
      <c r="K97" s="170" t="str">
        <f t="shared" si="52"/>
        <v/>
      </c>
      <c r="L97" s="170" t="str">
        <f t="shared" si="52"/>
        <v/>
      </c>
      <c r="M97" s="170" t="str">
        <f t="shared" si="52"/>
        <v/>
      </c>
      <c r="N97" s="170" t="str">
        <f t="shared" si="52"/>
        <v/>
      </c>
      <c r="O97" s="170" t="str">
        <f t="shared" si="52"/>
        <v/>
      </c>
      <c r="P97" s="170">
        <f t="shared" si="52"/>
        <v>0</v>
      </c>
      <c r="Q97" s="170">
        <f t="shared" si="52"/>
        <v>0</v>
      </c>
      <c r="R97" s="170">
        <f t="shared" si="52"/>
        <v>0</v>
      </c>
      <c r="S97" s="170">
        <f t="shared" si="52"/>
        <v>0</v>
      </c>
      <c r="T97" s="170">
        <f>IF(T$94=T$4,SUMPRODUCT(T$77:T$82,$K$87:$K$92),"")</f>
        <v>0</v>
      </c>
      <c r="U97" s="170" t="str">
        <f t="shared" si="52"/>
        <v/>
      </c>
      <c r="V97" s="166"/>
      <c r="W97" s="17"/>
      <c r="X97" s="82"/>
    </row>
    <row r="98" spans="1:34" outlineLevel="1">
      <c r="A98" s="17"/>
      <c r="B98" s="17"/>
      <c r="C98" s="167">
        <v>0</v>
      </c>
      <c r="D98" s="120" t="s">
        <v>64</v>
      </c>
      <c r="E98" s="120" t="s">
        <v>82</v>
      </c>
      <c r="F98" s="120" t="s">
        <v>74</v>
      </c>
      <c r="G98" s="120"/>
      <c r="H98" s="120"/>
      <c r="I98" s="120"/>
      <c r="J98" s="170" t="str">
        <f t="shared" ref="J98:U98" si="53">IF(J$94=J$4,SUMPRODUCT(J$77:J$82,$L$87:$L$92),"")</f>
        <v/>
      </c>
      <c r="K98" s="170" t="str">
        <f t="shared" si="53"/>
        <v/>
      </c>
      <c r="L98" s="170" t="str">
        <f t="shared" si="53"/>
        <v/>
      </c>
      <c r="M98" s="170" t="str">
        <f t="shared" si="53"/>
        <v/>
      </c>
      <c r="N98" s="170" t="str">
        <f t="shared" si="53"/>
        <v/>
      </c>
      <c r="O98" s="170" t="str">
        <f t="shared" si="53"/>
        <v/>
      </c>
      <c r="P98" s="170">
        <f t="shared" si="53"/>
        <v>0</v>
      </c>
      <c r="Q98" s="170">
        <f t="shared" si="53"/>
        <v>0</v>
      </c>
      <c r="R98" s="170">
        <f t="shared" si="53"/>
        <v>0</v>
      </c>
      <c r="S98" s="170">
        <f t="shared" si="53"/>
        <v>0</v>
      </c>
      <c r="T98" s="170">
        <f t="shared" si="53"/>
        <v>0</v>
      </c>
      <c r="U98" s="170" t="str">
        <f t="shared" si="53"/>
        <v/>
      </c>
      <c r="V98" s="166"/>
      <c r="W98" s="17"/>
      <c r="X98" s="82"/>
    </row>
    <row r="99" spans="1:34" outlineLevel="1">
      <c r="A99" s="17"/>
      <c r="B99" s="17"/>
      <c r="C99" s="167">
        <v>0</v>
      </c>
      <c r="D99" s="120" t="s">
        <v>64</v>
      </c>
      <c r="E99" s="120" t="s">
        <v>82</v>
      </c>
      <c r="F99" s="120" t="s">
        <v>74</v>
      </c>
      <c r="G99" s="120"/>
      <c r="H99" s="120"/>
      <c r="I99" s="120"/>
      <c r="J99" s="170" t="str">
        <f t="shared" ref="J99:U99" si="54">IF(J$94=J$4,SUMPRODUCT(J$77:J$82,$M$87:$M$92),"")</f>
        <v/>
      </c>
      <c r="K99" s="170" t="str">
        <f t="shared" si="54"/>
        <v/>
      </c>
      <c r="L99" s="170" t="str">
        <f t="shared" si="54"/>
        <v/>
      </c>
      <c r="M99" s="170" t="str">
        <f t="shared" si="54"/>
        <v/>
      </c>
      <c r="N99" s="170" t="str">
        <f t="shared" si="54"/>
        <v/>
      </c>
      <c r="O99" s="170" t="str">
        <f t="shared" si="54"/>
        <v/>
      </c>
      <c r="P99" s="170">
        <f t="shared" si="54"/>
        <v>0</v>
      </c>
      <c r="Q99" s="170">
        <f t="shared" si="54"/>
        <v>0</v>
      </c>
      <c r="R99" s="170">
        <f t="shared" si="54"/>
        <v>0</v>
      </c>
      <c r="S99" s="170">
        <f t="shared" si="54"/>
        <v>0</v>
      </c>
      <c r="T99" s="170">
        <f t="shared" si="54"/>
        <v>0</v>
      </c>
      <c r="U99" s="170" t="str">
        <f t="shared" si="54"/>
        <v/>
      </c>
      <c r="V99" s="166"/>
      <c r="W99" s="17"/>
      <c r="X99" s="82"/>
    </row>
    <row r="100" spans="1:34" outlineLevel="1">
      <c r="A100" s="17"/>
      <c r="B100" s="17"/>
      <c r="C100" s="125"/>
      <c r="D100" s="120"/>
      <c r="E100" s="120"/>
      <c r="F100" s="120"/>
      <c r="G100" s="121"/>
      <c r="H100" s="121"/>
      <c r="I100" s="120"/>
      <c r="J100" s="120"/>
      <c r="K100" s="126"/>
      <c r="L100" s="126"/>
      <c r="M100" s="126"/>
      <c r="N100" s="126"/>
      <c r="O100" s="126"/>
      <c r="P100" s="17"/>
      <c r="Q100" s="17"/>
      <c r="R100" s="17"/>
      <c r="S100" s="17"/>
      <c r="T100" s="17"/>
      <c r="U100" s="17"/>
      <c r="V100" s="17"/>
      <c r="W100" s="17"/>
    </row>
    <row r="101" spans="1:34" customFormat="1" ht="13.15">
      <c r="A101" s="32"/>
      <c r="B101" s="38" t="s">
        <v>91</v>
      </c>
      <c r="C101" s="32"/>
      <c r="D101" s="32"/>
      <c r="E101" s="32"/>
      <c r="F101" s="118"/>
      <c r="G101" s="118"/>
      <c r="H101" s="118"/>
      <c r="I101" s="118"/>
      <c r="J101" s="118"/>
      <c r="K101" s="34"/>
      <c r="L101" s="119"/>
      <c r="M101" s="34"/>
      <c r="N101" s="119"/>
      <c r="O101" s="34"/>
      <c r="P101" s="34"/>
      <c r="Q101" s="34"/>
      <c r="R101" s="34"/>
      <c r="S101" s="34"/>
      <c r="T101" s="34"/>
      <c r="U101" s="34"/>
      <c r="V101" s="34"/>
      <c r="W101" s="34"/>
      <c r="X101" s="35"/>
      <c r="Y101" s="36"/>
      <c r="Z101" s="36"/>
      <c r="AA101" s="36"/>
      <c r="AB101" s="36"/>
      <c r="AC101" s="36"/>
      <c r="AD101" s="36"/>
      <c r="AE101" s="36"/>
      <c r="AF101" s="36"/>
      <c r="AG101" s="37"/>
      <c r="AH101" s="37"/>
    </row>
    <row r="102" spans="1:34" outlineLevel="1">
      <c r="A102" s="17"/>
      <c r="B102" s="17"/>
      <c r="C102" s="17"/>
      <c r="D102" s="120"/>
      <c r="E102" s="120"/>
      <c r="F102" s="120"/>
      <c r="G102" s="121"/>
      <c r="H102" s="121"/>
      <c r="I102" s="120"/>
      <c r="J102" s="120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34" outlineLevel="1">
      <c r="A103" s="17"/>
      <c r="B103" s="17"/>
      <c r="C103" s="122" t="s">
        <v>92</v>
      </c>
      <c r="D103" s="121" t="s">
        <v>33</v>
      </c>
      <c r="E103" s="121" t="s">
        <v>56</v>
      </c>
      <c r="F103" s="121" t="s">
        <v>62</v>
      </c>
      <c r="G103" s="121"/>
      <c r="H103" s="121"/>
      <c r="I103" s="120"/>
      <c r="J103" s="138" t="str">
        <f t="shared" ref="J103:U103" si="55">IF(YEAR(J$4)&gt;=FPFirstYear,IF(YEAR(J$4)&lt;=FPLastYear,J$4,""),"")</f>
        <v/>
      </c>
      <c r="K103" s="138" t="str">
        <f t="shared" si="55"/>
        <v/>
      </c>
      <c r="L103" s="138" t="str">
        <f t="shared" si="55"/>
        <v/>
      </c>
      <c r="M103" s="138" t="str">
        <f t="shared" si="55"/>
        <v/>
      </c>
      <c r="N103" s="138" t="str">
        <f t="shared" si="55"/>
        <v/>
      </c>
      <c r="O103" s="138" t="str">
        <f t="shared" si="55"/>
        <v/>
      </c>
      <c r="P103" s="138">
        <f t="shared" si="55"/>
        <v>46539</v>
      </c>
      <c r="Q103" s="138">
        <f t="shared" si="55"/>
        <v>46905</v>
      </c>
      <c r="R103" s="138">
        <f t="shared" si="55"/>
        <v>47270</v>
      </c>
      <c r="S103" s="138">
        <f t="shared" si="55"/>
        <v>47635</v>
      </c>
      <c r="T103" s="138">
        <f t="shared" si="55"/>
        <v>48000</v>
      </c>
      <c r="U103" s="138" t="str">
        <f t="shared" si="55"/>
        <v/>
      </c>
      <c r="V103" s="17"/>
      <c r="W103" s="17"/>
    </row>
    <row r="104" spans="1:34" outlineLevel="1">
      <c r="A104" s="17"/>
      <c r="B104" s="17"/>
      <c r="C104" s="125"/>
      <c r="D104" s="120"/>
      <c r="E104" s="120"/>
      <c r="F104" s="120"/>
      <c r="G104" s="121"/>
      <c r="H104" s="121"/>
      <c r="I104" s="120"/>
      <c r="J104" s="120"/>
      <c r="K104" s="126"/>
      <c r="L104" s="126"/>
      <c r="M104" s="126"/>
      <c r="N104" s="126"/>
      <c r="O104" s="126"/>
      <c r="P104" s="17"/>
      <c r="Q104" s="17"/>
      <c r="R104" s="17"/>
      <c r="S104" s="17"/>
      <c r="T104" s="17"/>
      <c r="U104" s="17"/>
      <c r="V104" s="17"/>
      <c r="W104" s="17"/>
    </row>
    <row r="105" spans="1:34" outlineLevel="1">
      <c r="A105" s="17"/>
      <c r="B105" s="17"/>
      <c r="C105" s="125" t="s">
        <v>92</v>
      </c>
      <c r="D105" s="120" t="s">
        <v>70</v>
      </c>
      <c r="E105" s="120" t="str">
        <f>percent</f>
        <v>Per cent</v>
      </c>
      <c r="F105" s="120" t="s">
        <v>74</v>
      </c>
      <c r="G105" s="121"/>
      <c r="H105" s="121"/>
      <c r="I105" s="120"/>
      <c r="J105" s="157"/>
      <c r="K105" s="174"/>
      <c r="L105" s="174"/>
      <c r="M105" s="174"/>
      <c r="N105" s="174"/>
      <c r="O105" s="168"/>
      <c r="P105" s="168">
        <v>0</v>
      </c>
      <c r="Q105" s="168">
        <v>0</v>
      </c>
      <c r="R105" s="168">
        <v>0</v>
      </c>
      <c r="S105" s="168">
        <v>0</v>
      </c>
      <c r="T105" s="168">
        <v>0</v>
      </c>
      <c r="U105" s="168"/>
      <c r="V105" s="17"/>
      <c r="W105" s="17"/>
    </row>
    <row r="106" spans="1:34" outlineLevel="1">
      <c r="A106" s="17"/>
      <c r="B106" s="17"/>
      <c r="C106" s="125"/>
      <c r="D106" s="120"/>
      <c r="E106" s="120"/>
      <c r="F106" s="120"/>
      <c r="G106" s="121"/>
      <c r="H106" s="121"/>
      <c r="I106" s="120"/>
      <c r="J106" s="120"/>
      <c r="K106" s="126"/>
      <c r="L106" s="126"/>
      <c r="M106" s="126"/>
      <c r="N106" s="126"/>
      <c r="O106" s="126"/>
      <c r="P106" s="175"/>
      <c r="Q106" s="175"/>
      <c r="R106" s="175"/>
      <c r="S106" s="175"/>
      <c r="T106" s="175"/>
      <c r="U106" s="175"/>
      <c r="V106" s="17"/>
      <c r="W106" s="17"/>
    </row>
    <row r="107" spans="1:34" outlineLevel="1">
      <c r="A107" s="17"/>
      <c r="B107" s="17"/>
      <c r="C107" s="17" t="s">
        <v>72</v>
      </c>
      <c r="D107" s="120" t="s">
        <v>64</v>
      </c>
      <c r="E107" s="120" t="s">
        <v>73</v>
      </c>
      <c r="F107" s="120" t="s">
        <v>74</v>
      </c>
      <c r="G107" s="120"/>
      <c r="H107" s="120"/>
      <c r="I107" s="120"/>
      <c r="J107" s="165" t="str">
        <f t="shared" ref="J107:S107" si="56">IF(J103=J$4,IF(ISBLANK(J105),"Check","Ok"),"")</f>
        <v/>
      </c>
      <c r="K107" s="165" t="str">
        <f t="shared" si="56"/>
        <v/>
      </c>
      <c r="L107" s="165" t="str">
        <f t="shared" si="56"/>
        <v/>
      </c>
      <c r="M107" s="165" t="str">
        <f t="shared" si="56"/>
        <v/>
      </c>
      <c r="N107" s="165" t="str">
        <f t="shared" si="56"/>
        <v/>
      </c>
      <c r="O107" s="165" t="str">
        <f t="shared" si="56"/>
        <v/>
      </c>
      <c r="P107" s="165" t="str">
        <f t="shared" si="56"/>
        <v>Ok</v>
      </c>
      <c r="Q107" s="165" t="str">
        <f t="shared" si="56"/>
        <v>Ok</v>
      </c>
      <c r="R107" s="165" t="str">
        <f t="shared" si="56"/>
        <v>Ok</v>
      </c>
      <c r="S107" s="165" t="str">
        <f t="shared" si="56"/>
        <v>Ok</v>
      </c>
      <c r="T107" s="165" t="str">
        <f>IF(T103=T$4,IF(ISBLANK(T105),"Check","Ok"),"")</f>
        <v>Ok</v>
      </c>
      <c r="U107" s="165" t="str">
        <f>IF(U103=U$4,IF(ISBLANK(U105),"Check","Ok"),"")</f>
        <v/>
      </c>
      <c r="V107" s="166"/>
      <c r="W107" s="17"/>
      <c r="X107" s="81" t="str">
        <f>IF(COUNTIF(J107:T107,"Check")=0,"Ok","Check")</f>
        <v>Ok</v>
      </c>
    </row>
    <row r="108" spans="1:34" outlineLevel="1">
      <c r="A108" s="17"/>
      <c r="B108" s="17"/>
      <c r="C108" s="125"/>
      <c r="D108" s="120"/>
      <c r="E108" s="120"/>
      <c r="F108" s="120"/>
      <c r="G108" s="121"/>
      <c r="H108" s="121"/>
      <c r="I108" s="120"/>
      <c r="J108" s="120"/>
      <c r="K108" s="126"/>
      <c r="L108" s="126"/>
      <c r="M108" s="126"/>
      <c r="N108" s="126"/>
      <c r="O108" s="126"/>
      <c r="P108" s="17"/>
      <c r="Q108" s="17"/>
      <c r="R108" s="17"/>
      <c r="S108" s="17"/>
      <c r="T108" s="17"/>
      <c r="U108" s="17"/>
      <c r="V108" s="17"/>
      <c r="W108" s="17"/>
    </row>
    <row r="109" spans="1:34" customFormat="1" ht="13.15">
      <c r="A109" s="32"/>
      <c r="B109" s="38" t="s">
        <v>23</v>
      </c>
      <c r="C109" s="32"/>
      <c r="D109" s="32"/>
      <c r="E109" s="32"/>
      <c r="F109" s="118"/>
      <c r="G109" s="118"/>
      <c r="H109" s="118"/>
      <c r="I109" s="118"/>
      <c r="J109" s="118"/>
      <c r="K109" s="34"/>
      <c r="L109" s="119"/>
      <c r="M109" s="34"/>
      <c r="N109" s="119"/>
      <c r="O109" s="34"/>
      <c r="P109" s="34"/>
      <c r="Q109" s="34"/>
      <c r="R109" s="34"/>
      <c r="S109" s="34"/>
      <c r="T109" s="34"/>
      <c r="U109" s="34"/>
      <c r="V109" s="34"/>
      <c r="W109" s="34"/>
      <c r="X109" s="35"/>
      <c r="Y109" s="36"/>
      <c r="Z109" s="36"/>
      <c r="AA109" s="36"/>
      <c r="AB109" s="36"/>
      <c r="AC109" s="36"/>
      <c r="AD109" s="36"/>
      <c r="AE109" s="36"/>
      <c r="AF109" s="36"/>
      <c r="AG109" s="37"/>
      <c r="AH109" s="37"/>
    </row>
    <row r="110" spans="1:34"/>
    <row r="111" spans="1:34"/>
    <row r="112" spans="1:34"/>
    <row r="113"/>
    <row r="114"/>
    <row r="115"/>
    <row r="116"/>
    <row r="117"/>
    <row r="118"/>
    <row r="119"/>
  </sheetData>
  <mergeCells count="2">
    <mergeCell ref="K3:M3"/>
    <mergeCell ref="O3:T3"/>
  </mergeCells>
  <conditionalFormatting sqref="J38:T40">
    <cfRule type="expression" dxfId="148" priority="10">
      <formula>J$36=J$4</formula>
    </cfRule>
  </conditionalFormatting>
  <conditionalFormatting sqref="J16:U22">
    <cfRule type="cellIs" dxfId="147" priority="22" operator="equal">
      <formula>0</formula>
    </cfRule>
  </conditionalFormatting>
  <conditionalFormatting sqref="J26:U32">
    <cfRule type="cellIs" dxfId="146" priority="23" operator="equal">
      <formula>0</formula>
    </cfRule>
  </conditionalFormatting>
  <conditionalFormatting sqref="J36:U36">
    <cfRule type="expression" dxfId="145" priority="57">
      <formula>J$36=J$4</formula>
    </cfRule>
  </conditionalFormatting>
  <conditionalFormatting sqref="J41:U45">
    <cfRule type="expression" dxfId="144" priority="1">
      <formula>J$36=J$4</formula>
    </cfRule>
  </conditionalFormatting>
  <conditionalFormatting sqref="J47:U47">
    <cfRule type="cellIs" dxfId="143" priority="43" operator="equal">
      <formula>"Ok"</formula>
    </cfRule>
    <cfRule type="cellIs" dxfId="142" priority="42" operator="equal">
      <formula>"Check"</formula>
    </cfRule>
  </conditionalFormatting>
  <conditionalFormatting sqref="J49:U49">
    <cfRule type="expression" dxfId="141" priority="27">
      <formula>J$36=J$4</formula>
    </cfRule>
  </conditionalFormatting>
  <conditionalFormatting sqref="J51:U58">
    <cfRule type="expression" dxfId="140" priority="11">
      <formula>J$49=J$4</formula>
    </cfRule>
  </conditionalFormatting>
  <conditionalFormatting sqref="J60:U60">
    <cfRule type="cellIs" dxfId="139" priority="66" operator="equal">
      <formula>"Check"</formula>
    </cfRule>
    <cfRule type="cellIs" dxfId="138" priority="67" operator="equal">
      <formula>"Ok"</formula>
    </cfRule>
  </conditionalFormatting>
  <conditionalFormatting sqref="J64:U64">
    <cfRule type="expression" dxfId="137" priority="32">
      <formula>J$64=J$4</formula>
    </cfRule>
  </conditionalFormatting>
  <conditionalFormatting sqref="J66:U71">
    <cfRule type="expression" dxfId="136" priority="30">
      <formula>J$64=J$4</formula>
    </cfRule>
  </conditionalFormatting>
  <conditionalFormatting sqref="J73:U73">
    <cfRule type="cellIs" dxfId="135" priority="38" operator="equal">
      <formula>"Check"</formula>
    </cfRule>
    <cfRule type="cellIs" dxfId="134" priority="39" operator="equal">
      <formula>"Ok"</formula>
    </cfRule>
  </conditionalFormatting>
  <conditionalFormatting sqref="J75:U75">
    <cfRule type="expression" dxfId="133" priority="26">
      <formula>J$36=J$4</formula>
    </cfRule>
  </conditionalFormatting>
  <conditionalFormatting sqref="J94:U94">
    <cfRule type="expression" dxfId="132" priority="179">
      <formula>J$94=J$4</formula>
    </cfRule>
  </conditionalFormatting>
  <conditionalFormatting sqref="J95:U95">
    <cfRule type="cellIs" dxfId="131" priority="15" operator="equal">
      <formula>"Check"</formula>
    </cfRule>
    <cfRule type="cellIs" dxfId="130" priority="16" operator="equal">
      <formula>"Ok"</formula>
    </cfRule>
  </conditionalFormatting>
  <conditionalFormatting sqref="J103:U103">
    <cfRule type="expression" dxfId="129" priority="25">
      <formula>J$36=J$4</formula>
    </cfRule>
  </conditionalFormatting>
  <conditionalFormatting sqref="J105:U105">
    <cfRule type="expression" dxfId="128" priority="180">
      <formula>J$103=J$4</formula>
    </cfRule>
  </conditionalFormatting>
  <conditionalFormatting sqref="J107:U107">
    <cfRule type="cellIs" dxfId="127" priority="46" operator="equal">
      <formula>"Check"</formula>
    </cfRule>
    <cfRule type="cellIs" dxfId="126" priority="47" operator="equal">
      <formula>"Ok"</formula>
    </cfRule>
  </conditionalFormatting>
  <conditionalFormatting sqref="T1:U1">
    <cfRule type="cellIs" dxfId="125" priority="86" operator="equal">
      <formula>"Check"</formula>
    </cfRule>
    <cfRule type="cellIs" dxfId="124" priority="87" operator="equal">
      <formula>"Ok"</formula>
    </cfRule>
  </conditionalFormatting>
  <conditionalFormatting sqref="X1 X94:X99">
    <cfRule type="cellIs" dxfId="123" priority="122" operator="equal">
      <formula>"Check"</formula>
    </cfRule>
    <cfRule type="cellIs" dxfId="122" priority="123" operator="equal">
      <formula>"Ok"</formula>
    </cfRule>
  </conditionalFormatting>
  <conditionalFormatting sqref="X47">
    <cfRule type="cellIs" dxfId="121" priority="44" operator="equal">
      <formula>"Check"</formula>
    </cfRule>
    <cfRule type="cellIs" dxfId="120" priority="45" operator="equal">
      <formula>"Ok"</formula>
    </cfRule>
  </conditionalFormatting>
  <conditionalFormatting sqref="X60">
    <cfRule type="cellIs" dxfId="119" priority="74" operator="equal">
      <formula>"Check"</formula>
    </cfRule>
    <cfRule type="cellIs" dxfId="118" priority="75" operator="equal">
      <formula>"Ok"</formula>
    </cfRule>
  </conditionalFormatting>
  <conditionalFormatting sqref="X73">
    <cfRule type="cellIs" dxfId="117" priority="40" operator="equal">
      <formula>"Check"</formula>
    </cfRule>
    <cfRule type="cellIs" dxfId="116" priority="41" operator="equal">
      <formula>"Ok"</formula>
    </cfRule>
  </conditionalFormatting>
  <conditionalFormatting sqref="X107">
    <cfRule type="cellIs" dxfId="115" priority="48" operator="equal">
      <formula>"Check"</formula>
    </cfRule>
    <cfRule type="cellIs" dxfId="114" priority="49" operator="equal">
      <formula>"Ok"</formula>
    </cfRule>
  </conditionalFormatting>
  <dataValidations count="2">
    <dataValidation type="list" allowBlank="1" showInputMessage="1" showErrorMessage="1" sqref="F108 F74 F100 F86 F83:F8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9" zoomScaleNormal="100" workbookViewId="0">
      <selection activeCell="P41" sqref="P41"/>
    </sheetView>
  </sheetViews>
  <sheetFormatPr defaultColWidth="0" defaultRowHeight="10.15" zeroHeight="1"/>
  <cols>
    <col min="1" max="2" width="1.6640625" customWidth="1"/>
    <col min="3" max="3" width="49.83203125" bestFit="1" customWidth="1"/>
    <col min="4" max="6" width="13.33203125" customWidth="1"/>
    <col min="7" max="8" width="3.33203125" customWidth="1"/>
    <col min="9" max="9" width="4.83203125" customWidth="1"/>
    <col min="10" max="20" width="10.83203125" customWidth="1"/>
    <col min="21" max="21" width="53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6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83" t="s">
        <v>24</v>
      </c>
      <c r="K1" s="27"/>
      <c r="L1" s="28" t="s">
        <v>25</v>
      </c>
      <c r="M1" s="46" t="s">
        <v>26</v>
      </c>
      <c r="N1" s="11" t="s">
        <v>27</v>
      </c>
      <c r="O1" s="12" t="s">
        <v>28</v>
      </c>
      <c r="P1" s="27"/>
      <c r="Q1" s="27"/>
      <c r="R1" s="28" t="s">
        <v>29</v>
      </c>
      <c r="S1" s="29" t="str">
        <f>IF(COUNTA($V$8:$V$266)=COUNTIF($V$8:$V$245,"OK"),"OK","Check")</f>
        <v>OK</v>
      </c>
      <c r="T1" s="29"/>
      <c r="U1" s="184" t="s">
        <v>30</v>
      </c>
      <c r="V1" s="29" t="str">
        <f>'Check|List'!$S$1</f>
        <v>Ok</v>
      </c>
    </row>
    <row r="2" spans="1:22" ht="13.9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41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33</v>
      </c>
      <c r="E4" s="56" t="s">
        <v>56</v>
      </c>
      <c r="F4" s="57" t="s">
        <v>62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.15">
      <c r="A8" s="32"/>
      <c r="B8" s="38" t="s">
        <v>93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35"/>
    </row>
    <row r="9" spans="1:22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8"/>
    </row>
    <row r="10" spans="1:22">
      <c r="A10" s="17"/>
      <c r="B10" s="17"/>
      <c r="C10" s="122" t="s">
        <v>94</v>
      </c>
      <c r="D10" s="121" t="s">
        <v>33</v>
      </c>
      <c r="E10" s="121" t="s">
        <v>56</v>
      </c>
      <c r="F10" s="121" t="s">
        <v>62</v>
      </c>
      <c r="G10" s="121"/>
      <c r="H10" s="121"/>
      <c r="I10" s="120"/>
      <c r="J10" s="123">
        <f t="shared" ref="J10:S10" si="0">IF(YEAR(J$4)&lt;=PPLastYear,J$4,"")</f>
        <v>44713</v>
      </c>
      <c r="K10" s="123">
        <f t="shared" si="0"/>
        <v>45078</v>
      </c>
      <c r="L10" s="123">
        <f t="shared" si="0"/>
        <v>45444</v>
      </c>
      <c r="M10" s="123">
        <f t="shared" si="0"/>
        <v>45809</v>
      </c>
      <c r="N10" s="123">
        <f t="shared" si="0"/>
        <v>46174</v>
      </c>
      <c r="O10" s="123" t="str">
        <f t="shared" si="0"/>
        <v/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/>
      <c r="U10" s="124"/>
      <c r="V10" s="8"/>
    </row>
    <row r="11" spans="1:22">
      <c r="A11" s="17"/>
      <c r="B11" s="17"/>
      <c r="C11" s="125"/>
      <c r="D11" s="120"/>
      <c r="E11" s="120"/>
      <c r="F11" s="120"/>
      <c r="G11" s="121"/>
      <c r="H11" s="121"/>
      <c r="I11" s="120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7"/>
      <c r="V11" s="8"/>
    </row>
    <row r="12" spans="1:22">
      <c r="A12" s="17"/>
      <c r="B12" s="17"/>
      <c r="C12" s="125"/>
      <c r="D12" s="120"/>
      <c r="E12" s="120"/>
      <c r="F12" s="120"/>
      <c r="G12" s="121"/>
      <c r="H12" s="121"/>
      <c r="I12" s="120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7"/>
      <c r="V12" s="8"/>
    </row>
    <row r="13" spans="1:22">
      <c r="A13" s="17"/>
      <c r="B13" s="17"/>
      <c r="C13" s="127" t="s">
        <v>95</v>
      </c>
      <c r="D13" s="120" t="s">
        <v>39</v>
      </c>
      <c r="E13" s="120" t="str">
        <f>units</f>
        <v>$millions</v>
      </c>
      <c r="F13" s="128">
        <f>DATE(PPFirstYear-1,MONTH(month),1)</f>
        <v>44348</v>
      </c>
      <c r="G13" s="121"/>
      <c r="H13" s="121"/>
      <c r="I13" s="120"/>
      <c r="J13" s="129">
        <v>32.938395417771773</v>
      </c>
      <c r="K13" s="129">
        <v>34.295178628824715</v>
      </c>
      <c r="L13" s="129">
        <v>33.671559002801345</v>
      </c>
      <c r="M13" s="129">
        <v>34.453166775786123</v>
      </c>
      <c r="N13" s="129">
        <v>35.612880947136595</v>
      </c>
      <c r="O13" s="129"/>
      <c r="P13" s="129"/>
      <c r="Q13" s="129"/>
      <c r="R13" s="129"/>
      <c r="S13" s="129"/>
      <c r="T13" s="129"/>
      <c r="U13" s="17"/>
      <c r="V13" s="64" t="str">
        <f>IF(COUNT(J13:T13)=COUNT($J$10:$T$10),"Ok","Check")</f>
        <v>Ok</v>
      </c>
    </row>
    <row r="14" spans="1:22">
      <c r="A14" s="17"/>
      <c r="B14" s="17"/>
      <c r="C14" s="125"/>
      <c r="D14" s="120"/>
      <c r="E14" s="120"/>
      <c r="F14" s="120"/>
      <c r="G14" s="121"/>
      <c r="H14" s="121"/>
      <c r="I14" s="120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7"/>
      <c r="V14" s="8"/>
    </row>
    <row r="15" spans="1:22">
      <c r="A15" s="17"/>
      <c r="B15" s="17"/>
      <c r="C15" s="130" t="s">
        <v>95</v>
      </c>
      <c r="D15" s="131" t="str">
        <f>D13</f>
        <v>AER</v>
      </c>
      <c r="E15" s="132" t="str">
        <f>E13</f>
        <v>$millions</v>
      </c>
      <c r="F15" s="132">
        <f>$F$13</f>
        <v>44348</v>
      </c>
      <c r="G15" s="121"/>
      <c r="H15" s="121"/>
      <c r="I15" s="120"/>
      <c r="J15" s="133">
        <f>J13</f>
        <v>32.938395417771773</v>
      </c>
      <c r="K15" s="133">
        <f t="shared" ref="K15:S15" si="1">K13</f>
        <v>34.295178628824715</v>
      </c>
      <c r="L15" s="133">
        <f t="shared" si="1"/>
        <v>33.671559002801345</v>
      </c>
      <c r="M15" s="133">
        <f t="shared" si="1"/>
        <v>34.453166775786123</v>
      </c>
      <c r="N15" s="133">
        <f t="shared" si="1"/>
        <v>35.612880947136595</v>
      </c>
      <c r="O15" s="133">
        <f t="shared" si="1"/>
        <v>0</v>
      </c>
      <c r="P15" s="133">
        <f t="shared" si="1"/>
        <v>0</v>
      </c>
      <c r="Q15" s="133">
        <f t="shared" si="1"/>
        <v>0</v>
      </c>
      <c r="R15" s="133">
        <f t="shared" si="1"/>
        <v>0</v>
      </c>
      <c r="S15" s="133">
        <f t="shared" si="1"/>
        <v>0</v>
      </c>
      <c r="T15" s="133"/>
      <c r="U15" s="17"/>
      <c r="V15" s="8"/>
    </row>
    <row r="16" spans="1:22">
      <c r="A16" s="17"/>
      <c r="B16" s="17"/>
      <c r="C16" s="125"/>
      <c r="D16" s="120"/>
      <c r="E16" s="120"/>
      <c r="F16" s="120"/>
      <c r="G16" s="121"/>
      <c r="H16" s="121"/>
      <c r="I16" s="120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7"/>
      <c r="V16" s="8"/>
    </row>
    <row r="17" spans="1:22">
      <c r="A17" s="17"/>
      <c r="B17" s="17"/>
      <c r="C17" s="122" t="s">
        <v>96</v>
      </c>
      <c r="D17" s="120"/>
      <c r="E17" s="120"/>
      <c r="F17" s="120"/>
      <c r="G17" s="121"/>
      <c r="H17" s="121"/>
      <c r="I17" s="120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7"/>
      <c r="V17" s="8"/>
    </row>
    <row r="18" spans="1:22">
      <c r="A18" s="17"/>
      <c r="B18" s="17"/>
      <c r="C18" s="125"/>
      <c r="D18" s="120"/>
      <c r="E18" s="120"/>
      <c r="F18" s="120"/>
      <c r="G18" s="121"/>
      <c r="H18" s="121"/>
      <c r="I18" s="120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7"/>
      <c r="V18" s="8"/>
    </row>
    <row r="19" spans="1:22">
      <c r="A19" s="17"/>
      <c r="B19" s="17"/>
      <c r="C19" s="127" t="s">
        <v>97</v>
      </c>
      <c r="D19" s="120" t="s">
        <v>39</v>
      </c>
      <c r="E19" s="120" t="str">
        <f t="shared" ref="E19:E27" si="2">units</f>
        <v>$millions</v>
      </c>
      <c r="F19" s="134">
        <f>$F$13</f>
        <v>44348</v>
      </c>
      <c r="G19" s="121"/>
      <c r="H19" s="121"/>
      <c r="I19" s="120"/>
      <c r="J19" s="129">
        <v>8.5396765368515428</v>
      </c>
      <c r="K19" s="129">
        <v>8.7941967380838744</v>
      </c>
      <c r="L19" s="129">
        <v>9.0540574176574484</v>
      </c>
      <c r="M19" s="129">
        <v>9.3205152431005551</v>
      </c>
      <c r="N19" s="129">
        <v>9.5887521264498154</v>
      </c>
      <c r="O19" s="129"/>
      <c r="P19" s="129"/>
      <c r="Q19" s="129"/>
      <c r="R19" s="129"/>
      <c r="S19" s="129"/>
      <c r="T19" s="129"/>
      <c r="U19" s="17"/>
      <c r="V19" s="64" t="str">
        <f>IF(ISBLANK(C19),IF(COUNT(J19:T19)=0,"Ok","Check"),IF(COUNT(J19:T19)=COUNT(J$10:T$10),"Ok","Check"))</f>
        <v>Ok</v>
      </c>
    </row>
    <row r="20" spans="1:22">
      <c r="A20" s="17"/>
      <c r="B20" s="17"/>
      <c r="C20" s="127" t="s">
        <v>98</v>
      </c>
      <c r="D20" s="120" t="s">
        <v>39</v>
      </c>
      <c r="E20" s="120" t="str">
        <f t="shared" si="2"/>
        <v>$millions</v>
      </c>
      <c r="F20" s="134">
        <f t="shared" ref="F20:F29" si="3">$F$13</f>
        <v>44348</v>
      </c>
      <c r="G20" s="121"/>
      <c r="H20" s="121"/>
      <c r="I20" s="120"/>
      <c r="J20" s="129">
        <v>0.69586688956070553</v>
      </c>
      <c r="K20" s="129">
        <v>0.67054560890370052</v>
      </c>
      <c r="L20" s="129">
        <v>0.63983578541941366</v>
      </c>
      <c r="M20" s="129">
        <v>0.61094521140229652</v>
      </c>
      <c r="N20" s="129">
        <v>0.58447495504957803</v>
      </c>
      <c r="O20" s="191"/>
      <c r="P20" s="129"/>
      <c r="Q20" s="129"/>
      <c r="R20" s="129"/>
      <c r="S20" s="129"/>
      <c r="T20" s="129"/>
      <c r="U20" s="17"/>
      <c r="V20" s="64" t="str">
        <f>IF(ISBLANK(C20),IF(COUNT(J20:T20)=0,"Ok","Check"),IF(COUNT(J20:T20)=COUNT(J$10:T$10),"Ok","Check"))</f>
        <v>Ok</v>
      </c>
    </row>
    <row r="21" spans="1:22">
      <c r="A21" s="17"/>
      <c r="B21" s="17"/>
      <c r="C21" s="127" t="s">
        <v>99</v>
      </c>
      <c r="D21" s="120" t="s">
        <v>39</v>
      </c>
      <c r="E21" s="120" t="str">
        <f t="shared" si="2"/>
        <v>$millions</v>
      </c>
      <c r="F21" s="134">
        <f t="shared" si="3"/>
        <v>44348</v>
      </c>
      <c r="G21" s="121"/>
      <c r="H21" s="121"/>
      <c r="I21" s="120"/>
      <c r="J21" s="129">
        <v>1.4384188694232398</v>
      </c>
      <c r="K21" s="129">
        <v>1.9785489116772654</v>
      </c>
      <c r="L21" s="129">
        <v>1.9434538705483686</v>
      </c>
      <c r="M21" s="129">
        <v>2.0241782320690445</v>
      </c>
      <c r="N21" s="129">
        <v>2.0775034030463173</v>
      </c>
      <c r="O21" s="129"/>
      <c r="P21" s="129"/>
      <c r="Q21" s="129"/>
      <c r="R21" s="129"/>
      <c r="S21" s="129"/>
      <c r="T21" s="129"/>
      <c r="U21" s="17"/>
      <c r="V21" s="64" t="str">
        <f t="shared" ref="V21:V27" si="4">IF(ISBLANK(C21),IF(COUNT(J21:T21)=0,"Ok","Check"),IF(COUNT(J21:T21)=COUNT(J$10:T$10),"Ok","Check"))</f>
        <v>Ok</v>
      </c>
    </row>
    <row r="22" spans="1:22">
      <c r="A22" s="17"/>
      <c r="B22" s="17"/>
      <c r="C22" s="127" t="s">
        <v>100</v>
      </c>
      <c r="D22" s="120" t="s">
        <v>39</v>
      </c>
      <c r="E22" s="120" t="str">
        <f t="shared" si="2"/>
        <v>$millions</v>
      </c>
      <c r="F22" s="134">
        <f t="shared" si="3"/>
        <v>44348</v>
      </c>
      <c r="G22" s="121"/>
      <c r="H22" s="121"/>
      <c r="I22" s="120"/>
      <c r="J22" s="129">
        <v>0.19406224897389771</v>
      </c>
      <c r="K22" s="129">
        <v>0.19390981070503632</v>
      </c>
      <c r="L22" s="129">
        <v>0.19319597241187608</v>
      </c>
      <c r="M22" s="129">
        <v>0.19071048726845369</v>
      </c>
      <c r="N22" s="129">
        <v>0.18729142428353698</v>
      </c>
      <c r="O22" s="129"/>
      <c r="P22" s="129"/>
      <c r="Q22" s="129"/>
      <c r="R22" s="129"/>
      <c r="S22" s="129"/>
      <c r="T22" s="129"/>
      <c r="U22" s="17"/>
      <c r="V22" s="64" t="str">
        <f t="shared" si="4"/>
        <v>Ok</v>
      </c>
    </row>
    <row r="23" spans="1:22">
      <c r="A23" s="17"/>
      <c r="B23" s="17"/>
      <c r="C23" s="127"/>
      <c r="D23" s="120" t="s">
        <v>39</v>
      </c>
      <c r="E23" s="120" t="str">
        <f t="shared" si="2"/>
        <v>$millions</v>
      </c>
      <c r="F23" s="134">
        <f t="shared" si="3"/>
        <v>44348</v>
      </c>
      <c r="G23" s="121"/>
      <c r="H23" s="121"/>
      <c r="I23" s="12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7"/>
      <c r="V23" s="64" t="str">
        <f t="shared" si="4"/>
        <v>Ok</v>
      </c>
    </row>
    <row r="24" spans="1:22">
      <c r="A24" s="17"/>
      <c r="B24" s="17"/>
      <c r="C24" s="127"/>
      <c r="D24" s="120" t="s">
        <v>39</v>
      </c>
      <c r="E24" s="120" t="str">
        <f t="shared" si="2"/>
        <v>$millions</v>
      </c>
      <c r="F24" s="134">
        <f t="shared" si="3"/>
        <v>44348</v>
      </c>
      <c r="G24" s="121"/>
      <c r="H24" s="121"/>
      <c r="I24" s="120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7"/>
      <c r="V24" s="64" t="str">
        <f t="shared" si="4"/>
        <v>Ok</v>
      </c>
    </row>
    <row r="25" spans="1:22">
      <c r="A25" s="17"/>
      <c r="B25" s="17"/>
      <c r="C25" s="127"/>
      <c r="D25" s="120" t="s">
        <v>39</v>
      </c>
      <c r="E25" s="120" t="str">
        <f t="shared" si="2"/>
        <v>$millions</v>
      </c>
      <c r="F25" s="134">
        <f t="shared" si="3"/>
        <v>44348</v>
      </c>
      <c r="G25" s="121"/>
      <c r="H25" s="121"/>
      <c r="I25" s="120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7"/>
      <c r="V25" s="64" t="str">
        <f t="shared" si="4"/>
        <v>Ok</v>
      </c>
    </row>
    <row r="26" spans="1:22">
      <c r="A26" s="17"/>
      <c r="B26" s="17"/>
      <c r="C26" s="127"/>
      <c r="D26" s="120" t="s">
        <v>39</v>
      </c>
      <c r="E26" s="120" t="str">
        <f t="shared" si="2"/>
        <v>$millions</v>
      </c>
      <c r="F26" s="134">
        <f t="shared" si="3"/>
        <v>44348</v>
      </c>
      <c r="G26" s="121"/>
      <c r="H26" s="121"/>
      <c r="I26" s="120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7"/>
      <c r="V26" s="64" t="str">
        <f t="shared" si="4"/>
        <v>Ok</v>
      </c>
    </row>
    <row r="27" spans="1:22">
      <c r="A27" s="17"/>
      <c r="B27" s="17"/>
      <c r="C27" s="127"/>
      <c r="D27" s="120" t="s">
        <v>39</v>
      </c>
      <c r="E27" s="120" t="str">
        <f t="shared" si="2"/>
        <v>$millions</v>
      </c>
      <c r="F27" s="134">
        <f t="shared" si="3"/>
        <v>44348</v>
      </c>
      <c r="G27" s="121"/>
      <c r="H27" s="121"/>
      <c r="I27" s="12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7"/>
      <c r="V27" s="64" t="str">
        <f t="shared" si="4"/>
        <v>Ok</v>
      </c>
    </row>
    <row r="28" spans="1:22">
      <c r="A28" s="17"/>
      <c r="B28" s="17"/>
      <c r="C28" s="125"/>
      <c r="D28" s="120"/>
      <c r="E28" s="120"/>
      <c r="F28" s="120"/>
      <c r="G28" s="121"/>
      <c r="H28" s="121"/>
      <c r="I28" s="12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7"/>
      <c r="V28" s="8"/>
    </row>
    <row r="29" spans="1:22">
      <c r="A29" s="17"/>
      <c r="B29" s="17"/>
      <c r="C29" s="130" t="s">
        <v>101</v>
      </c>
      <c r="D29" s="131" t="s">
        <v>54</v>
      </c>
      <c r="E29" s="135" t="str">
        <f>units</f>
        <v>$millions</v>
      </c>
      <c r="F29" s="132">
        <f t="shared" si="3"/>
        <v>44348</v>
      </c>
      <c r="G29" s="121"/>
      <c r="H29" s="121"/>
      <c r="I29" s="120"/>
      <c r="J29" s="133">
        <f>SUM(J19:J27)</f>
        <v>10.868024544809385</v>
      </c>
      <c r="K29" s="133">
        <f>SUM(K19:K27)</f>
        <v>11.637201069369876</v>
      </c>
      <c r="L29" s="133">
        <f>SUM(L19:L27)</f>
        <v>11.830543046037107</v>
      </c>
      <c r="M29" s="133">
        <f>SUM(M19:M27)</f>
        <v>12.146349173840349</v>
      </c>
      <c r="N29" s="133">
        <f>SUM(N19:N27)</f>
        <v>12.438021908829246</v>
      </c>
      <c r="O29" s="133">
        <f t="shared" ref="O29:S29" si="5">SUM(O19:O27)</f>
        <v>0</v>
      </c>
      <c r="P29" s="133">
        <f t="shared" si="5"/>
        <v>0</v>
      </c>
      <c r="Q29" s="133">
        <f t="shared" si="5"/>
        <v>0</v>
      </c>
      <c r="R29" s="133">
        <f t="shared" si="5"/>
        <v>0</v>
      </c>
      <c r="S29" s="133">
        <f t="shared" si="5"/>
        <v>0</v>
      </c>
      <c r="T29" s="133"/>
      <c r="U29" s="17"/>
      <c r="V29" s="64"/>
    </row>
    <row r="30" spans="1:22">
      <c r="A30" s="17"/>
      <c r="B30" s="17"/>
      <c r="C30" s="17"/>
      <c r="D30" s="120"/>
      <c r="E30" s="120"/>
      <c r="F30" s="120"/>
      <c r="G30" s="121"/>
      <c r="H30" s="121"/>
      <c r="I30" s="1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8"/>
    </row>
    <row r="31" spans="1:22" ht="13.15">
      <c r="A31" s="32"/>
      <c r="B31" s="38" t="s">
        <v>9</v>
      </c>
      <c r="C31" s="32"/>
      <c r="D31" s="32"/>
      <c r="E31" s="32"/>
      <c r="F31" s="118"/>
      <c r="G31" s="118"/>
      <c r="H31" s="118"/>
      <c r="I31" s="118"/>
      <c r="J31" s="34"/>
      <c r="K31" s="119"/>
      <c r="L31" s="34"/>
      <c r="M31" s="119"/>
      <c r="N31" s="34"/>
      <c r="O31" s="34"/>
      <c r="P31" s="34"/>
      <c r="Q31" s="34"/>
      <c r="R31" s="34"/>
      <c r="S31" s="34"/>
      <c r="T31" s="34"/>
      <c r="U31" s="34"/>
      <c r="V31" s="35"/>
    </row>
    <row r="32" spans="1:22">
      <c r="A32" s="17"/>
      <c r="B32" s="17"/>
      <c r="C32" s="17"/>
      <c r="D32" s="120"/>
      <c r="E32" s="120"/>
      <c r="F32" s="120"/>
      <c r="G32" s="120"/>
      <c r="H32" s="120"/>
      <c r="I32" s="12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8"/>
    </row>
    <row r="33" spans="1:22">
      <c r="A33" s="17"/>
      <c r="B33" s="17"/>
      <c r="C33" s="17"/>
      <c r="D33" s="120"/>
      <c r="E33" s="120"/>
      <c r="F33" s="120"/>
      <c r="G33" s="120"/>
      <c r="H33" s="120"/>
      <c r="I33" s="120"/>
      <c r="J33" s="129" t="s">
        <v>102</v>
      </c>
      <c r="K33" s="129" t="s">
        <v>102</v>
      </c>
      <c r="L33" s="129" t="s">
        <v>102</v>
      </c>
      <c r="M33" s="129" t="s">
        <v>103</v>
      </c>
      <c r="N33" s="129" t="s">
        <v>103</v>
      </c>
      <c r="O33" s="129"/>
      <c r="P33" s="129"/>
      <c r="Q33" s="129"/>
      <c r="R33" s="129"/>
      <c r="S33" s="129"/>
      <c r="T33" s="129"/>
      <c r="U33" s="17"/>
      <c r="V33" s="8"/>
    </row>
    <row r="34" spans="1:22">
      <c r="A34" s="17"/>
      <c r="B34" s="17"/>
      <c r="C34" s="122" t="s">
        <v>94</v>
      </c>
      <c r="D34" s="121" t="s">
        <v>33</v>
      </c>
      <c r="E34" s="121" t="s">
        <v>56</v>
      </c>
      <c r="F34" s="121" t="s">
        <v>62</v>
      </c>
      <c r="G34" s="121"/>
      <c r="H34" s="121"/>
      <c r="I34" s="121"/>
      <c r="J34" s="123">
        <f t="shared" ref="J34:S34" si="6">IF(YEAR(J$4)&lt;=PPLastYear,J$4,"")</f>
        <v>44713</v>
      </c>
      <c r="K34" s="123">
        <f t="shared" si="6"/>
        <v>45078</v>
      </c>
      <c r="L34" s="123">
        <f t="shared" si="6"/>
        <v>45444</v>
      </c>
      <c r="M34" s="123">
        <f t="shared" si="6"/>
        <v>45809</v>
      </c>
      <c r="N34" s="123">
        <f t="shared" si="6"/>
        <v>46174</v>
      </c>
      <c r="O34" s="123" t="str">
        <f t="shared" si="6"/>
        <v/>
      </c>
      <c r="P34" s="123" t="str">
        <f t="shared" si="6"/>
        <v/>
      </c>
      <c r="Q34" s="123" t="str">
        <f t="shared" si="6"/>
        <v/>
      </c>
      <c r="R34" s="123" t="str">
        <f t="shared" si="6"/>
        <v/>
      </c>
      <c r="S34" s="123" t="str">
        <f t="shared" si="6"/>
        <v/>
      </c>
      <c r="T34" s="123"/>
      <c r="U34" s="124"/>
      <c r="V34" s="8"/>
    </row>
    <row r="35" spans="1:22">
      <c r="A35" s="17"/>
      <c r="B35" s="17"/>
      <c r="C35" s="125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</row>
    <row r="36" spans="1:22">
      <c r="A36" s="17"/>
      <c r="B36" s="17"/>
      <c r="C36" s="125"/>
      <c r="D36" s="120"/>
      <c r="E36" s="120"/>
      <c r="F36" s="120"/>
      <c r="G36" s="121"/>
      <c r="H36" s="121"/>
      <c r="I36" s="12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</row>
    <row r="37" spans="1:22">
      <c r="A37" s="17"/>
      <c r="B37" s="17"/>
      <c r="C37" s="127" t="s">
        <v>95</v>
      </c>
      <c r="D37" s="120" t="s">
        <v>104</v>
      </c>
      <c r="E37" s="120" t="str">
        <f>units</f>
        <v>$millions</v>
      </c>
      <c r="F37" s="134" t="s">
        <v>105</v>
      </c>
      <c r="G37" s="121"/>
      <c r="H37" s="121"/>
      <c r="I37" s="120"/>
      <c r="J37" s="129">
        <v>29.933382999999999</v>
      </c>
      <c r="K37" s="129">
        <v>31.606812000000001</v>
      </c>
      <c r="L37" s="129">
        <v>34.649613000000002</v>
      </c>
      <c r="M37" s="201">
        <v>38.255050752933194</v>
      </c>
      <c r="N37" s="129">
        <v>39.571217481912676</v>
      </c>
      <c r="O37" s="129"/>
      <c r="P37" s="129"/>
      <c r="Q37" s="129"/>
      <c r="R37" s="129"/>
      <c r="S37" s="129"/>
      <c r="T37" s="129"/>
      <c r="U37" s="17"/>
      <c r="V37" s="64" t="str">
        <f>IF(AND(COUNT(J37:T37)&gt;=COUNTIF($J$33:$T$33,"Actual"),COUNT(J37:T37)&lt;=COUNT($J$34:$T$34)),"Ok","Check")</f>
        <v>Ok</v>
      </c>
    </row>
    <row r="38" spans="1:22">
      <c r="A38" s="17"/>
      <c r="B38" s="17"/>
      <c r="C38" s="125"/>
      <c r="D38" s="120"/>
      <c r="E38" s="120"/>
      <c r="F38" s="134"/>
      <c r="G38" s="121"/>
      <c r="H38" s="121"/>
      <c r="I38" s="120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7"/>
      <c r="V38" s="8"/>
    </row>
    <row r="39" spans="1:22">
      <c r="A39" s="17"/>
      <c r="B39" s="17"/>
      <c r="C39" s="122" t="s">
        <v>106</v>
      </c>
      <c r="D39" s="120"/>
      <c r="E39" s="120"/>
      <c r="F39" s="134"/>
      <c r="G39" s="121"/>
      <c r="H39" s="121"/>
      <c r="I39" s="120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7"/>
      <c r="V39" s="8"/>
    </row>
    <row r="40" spans="1:22">
      <c r="A40" s="17"/>
      <c r="B40" s="17"/>
      <c r="C40" s="122"/>
      <c r="D40" s="120"/>
      <c r="E40" s="120"/>
      <c r="F40" s="134"/>
      <c r="G40" s="121"/>
      <c r="H40" s="121"/>
      <c r="I40" s="120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7"/>
      <c r="V40" s="8"/>
    </row>
    <row r="41" spans="1:22">
      <c r="A41" s="17"/>
      <c r="B41" s="17"/>
      <c r="C41" s="202" t="s">
        <v>107</v>
      </c>
      <c r="D41" s="120" t="s">
        <v>104</v>
      </c>
      <c r="E41" s="120" t="str">
        <f>units</f>
        <v>$millions</v>
      </c>
      <c r="F41" s="134" t="s">
        <v>105</v>
      </c>
      <c r="G41" s="121"/>
      <c r="H41" s="121"/>
      <c r="I41" s="120"/>
      <c r="J41" s="201">
        <v>1.18425486</v>
      </c>
      <c r="K41" s="201">
        <v>1.6604029300000003</v>
      </c>
      <c r="L41" s="201">
        <v>1.7629072800000001</v>
      </c>
      <c r="M41" s="210">
        <v>2.0271465000000002</v>
      </c>
      <c r="N41" s="212">
        <v>1.7614671931627561</v>
      </c>
      <c r="O41" s="191"/>
      <c r="P41" s="129"/>
      <c r="Q41" s="129"/>
      <c r="R41" s="129"/>
      <c r="S41" s="129"/>
      <c r="T41" s="129"/>
      <c r="U41" s="17"/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7"/>
      <c r="B42" s="17"/>
      <c r="C42" s="202"/>
      <c r="D42" s="120" t="s">
        <v>104</v>
      </c>
      <c r="E42" s="120" t="str">
        <f>units</f>
        <v>$millions</v>
      </c>
      <c r="F42" s="134" t="s">
        <v>105</v>
      </c>
      <c r="G42" s="121"/>
      <c r="H42" s="121"/>
      <c r="I42" s="120"/>
      <c r="J42" s="201"/>
      <c r="K42" s="201"/>
      <c r="L42" s="201"/>
      <c r="M42" s="201"/>
      <c r="N42" s="129"/>
      <c r="O42" s="129"/>
      <c r="P42" s="129"/>
      <c r="Q42" s="129"/>
      <c r="R42" s="129"/>
      <c r="S42" s="129"/>
      <c r="T42" s="129"/>
      <c r="U42" s="17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7"/>
      <c r="B43" s="17"/>
      <c r="C43" s="202"/>
      <c r="D43" s="120" t="s">
        <v>104</v>
      </c>
      <c r="E43" s="120" t="str">
        <f>units</f>
        <v>$millions</v>
      </c>
      <c r="F43" s="134" t="s">
        <v>105</v>
      </c>
      <c r="G43" s="121"/>
      <c r="H43" s="121"/>
      <c r="I43" s="120"/>
      <c r="J43" s="201"/>
      <c r="K43" s="201"/>
      <c r="L43" s="201"/>
      <c r="M43" s="201"/>
      <c r="N43" s="129"/>
      <c r="O43" s="200"/>
      <c r="P43" s="129"/>
      <c r="Q43" s="129"/>
      <c r="R43" s="129"/>
      <c r="S43" s="129"/>
      <c r="T43" s="129"/>
      <c r="U43" s="17"/>
      <c r="V43" s="64" t="str">
        <f t="shared" si="7"/>
        <v>Ok</v>
      </c>
    </row>
    <row r="44" spans="1:22">
      <c r="A44" s="17"/>
      <c r="B44" s="17"/>
      <c r="C44" s="127"/>
      <c r="D44" s="120" t="s">
        <v>104</v>
      </c>
      <c r="E44" s="120" t="str">
        <f>units</f>
        <v>$millions</v>
      </c>
      <c r="F44" s="134" t="s">
        <v>105</v>
      </c>
      <c r="G44" s="121"/>
      <c r="H44" s="121"/>
      <c r="I44" s="120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7"/>
      <c r="V44" s="64" t="str">
        <f t="shared" si="7"/>
        <v>Ok</v>
      </c>
    </row>
    <row r="45" spans="1:22">
      <c r="A45" s="17"/>
      <c r="B45" s="17"/>
      <c r="C45" s="127"/>
      <c r="D45" s="120" t="s">
        <v>104</v>
      </c>
      <c r="E45" s="120" t="str">
        <f>units</f>
        <v>$millions</v>
      </c>
      <c r="F45" s="134" t="s">
        <v>105</v>
      </c>
      <c r="G45" s="121"/>
      <c r="H45" s="121"/>
      <c r="I45" s="120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7"/>
      <c r="V45" s="64" t="str">
        <f t="shared" si="7"/>
        <v>Ok</v>
      </c>
    </row>
    <row r="46" spans="1:22">
      <c r="A46" s="17"/>
      <c r="B46" s="17"/>
      <c r="C46" s="125"/>
      <c r="D46" s="120"/>
      <c r="E46" s="120"/>
      <c r="F46" s="120"/>
      <c r="G46" s="121"/>
      <c r="H46" s="121"/>
      <c r="I46" s="120"/>
      <c r="J46" s="17"/>
      <c r="K46" s="17"/>
      <c r="L46" s="17"/>
      <c r="M46" s="17"/>
      <c r="N46" s="136"/>
      <c r="O46" s="136"/>
      <c r="P46" s="136"/>
      <c r="Q46" s="136"/>
      <c r="R46" s="136"/>
      <c r="S46" s="136"/>
      <c r="T46" s="136"/>
      <c r="U46" s="17"/>
      <c r="V46" s="8"/>
    </row>
    <row r="47" spans="1:22">
      <c r="A47" s="17"/>
      <c r="B47" s="17"/>
      <c r="C47" s="130" t="s">
        <v>108</v>
      </c>
      <c r="D47" s="131" t="s">
        <v>54</v>
      </c>
      <c r="E47" s="135" t="str">
        <f>units</f>
        <v>$millions</v>
      </c>
      <c r="F47" s="132" t="s">
        <v>105</v>
      </c>
      <c r="G47" s="121"/>
      <c r="H47" s="121"/>
      <c r="I47" s="120"/>
      <c r="J47" s="133">
        <f>J37-SUM(J41:J45)</f>
        <v>28.74912814</v>
      </c>
      <c r="K47" s="133">
        <f>K37-SUM(K41:K45)</f>
        <v>29.946409070000001</v>
      </c>
      <c r="L47" s="133">
        <f>L37-SUM(L41:L45)</f>
        <v>32.886705720000002</v>
      </c>
      <c r="M47" s="133">
        <f>M37-SUM(M41:M45)</f>
        <v>36.227904252933193</v>
      </c>
      <c r="N47" s="133">
        <f>N37-SUM(N41:N45)</f>
        <v>37.809750288749918</v>
      </c>
      <c r="O47" s="133">
        <f t="shared" ref="O47:S47" si="8">O37-SUM(O41:O45)</f>
        <v>0</v>
      </c>
      <c r="P47" s="133">
        <f t="shared" si="8"/>
        <v>0</v>
      </c>
      <c r="Q47" s="133">
        <f t="shared" si="8"/>
        <v>0</v>
      </c>
      <c r="R47" s="133">
        <f t="shared" si="8"/>
        <v>0</v>
      </c>
      <c r="S47" s="133">
        <f t="shared" si="8"/>
        <v>0</v>
      </c>
      <c r="T47" s="133"/>
      <c r="U47" s="17"/>
      <c r="V47" s="8"/>
    </row>
    <row r="48" spans="1:22">
      <c r="A48" s="17"/>
      <c r="B48" s="17"/>
      <c r="C48" s="17"/>
      <c r="D48" s="120"/>
      <c r="E48" s="120"/>
      <c r="F48" s="120"/>
      <c r="G48" s="120"/>
      <c r="H48" s="120"/>
      <c r="I48" s="12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8"/>
    </row>
    <row r="49" spans="1:22">
      <c r="A49" s="17"/>
      <c r="B49" s="17"/>
      <c r="C49" s="122" t="s">
        <v>109</v>
      </c>
      <c r="D49" s="120"/>
      <c r="E49" s="120"/>
      <c r="F49" s="120"/>
      <c r="G49" s="120"/>
      <c r="H49" s="120"/>
      <c r="I49" s="12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8"/>
    </row>
    <row r="50" spans="1:22">
      <c r="A50" s="17"/>
      <c r="B50" s="17"/>
      <c r="C50" s="17"/>
      <c r="D50" s="120"/>
      <c r="E50" s="120"/>
      <c r="F50" s="120"/>
      <c r="G50" s="120"/>
      <c r="H50" s="120"/>
      <c r="I50" s="12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8"/>
    </row>
    <row r="51" spans="1:22">
      <c r="A51" s="17"/>
      <c r="B51" s="17"/>
      <c r="C51" s="127" t="s">
        <v>110</v>
      </c>
      <c r="D51" s="120" t="s">
        <v>104</v>
      </c>
      <c r="E51" s="120" t="str">
        <f>units</f>
        <v>$millions</v>
      </c>
      <c r="F51" s="134" t="s">
        <v>105</v>
      </c>
      <c r="G51" s="121"/>
      <c r="H51" s="121"/>
      <c r="I51" s="120"/>
      <c r="J51" s="129">
        <v>2.8405659999999999</v>
      </c>
      <c r="K51" s="129">
        <v>5.059215</v>
      </c>
      <c r="L51" s="129">
        <v>5.06189</v>
      </c>
      <c r="M51" s="129">
        <v>3.2543229983641582</v>
      </c>
      <c r="N51" s="129">
        <v>3.3347266197500853</v>
      </c>
      <c r="O51" s="198"/>
      <c r="P51" s="129"/>
      <c r="Q51" s="129"/>
      <c r="R51" s="129"/>
      <c r="S51" s="129"/>
      <c r="T51" s="129"/>
      <c r="U51" s="17"/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7"/>
      <c r="B52" s="17"/>
      <c r="C52" s="127" t="s">
        <v>111</v>
      </c>
      <c r="D52" s="120" t="s">
        <v>104</v>
      </c>
      <c r="E52" s="120" t="str">
        <f>units</f>
        <v>$millions</v>
      </c>
      <c r="F52" s="134" t="s">
        <v>105</v>
      </c>
      <c r="G52" s="121"/>
      <c r="H52" s="121"/>
      <c r="I52" s="120"/>
      <c r="J52" s="129">
        <v>8.4993700000000008</v>
      </c>
      <c r="K52" s="129">
        <v>8.6729109999999991</v>
      </c>
      <c r="L52" s="129">
        <v>8.3724720000000001</v>
      </c>
      <c r="M52" s="129">
        <v>8.8075623098463982</v>
      </c>
      <c r="N52" s="129">
        <v>9.9070949033059534</v>
      </c>
      <c r="O52" s="191"/>
      <c r="P52" s="129"/>
      <c r="Q52" s="129"/>
      <c r="R52" s="129"/>
      <c r="S52" s="129"/>
      <c r="T52" s="129"/>
      <c r="U52" s="17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7"/>
      <c r="B53" s="17"/>
      <c r="C53" s="127" t="s">
        <v>112</v>
      </c>
      <c r="D53" s="120" t="s">
        <v>104</v>
      </c>
      <c r="E53" s="120" t="str">
        <f>units</f>
        <v>$millions</v>
      </c>
      <c r="F53" s="134" t="s">
        <v>105</v>
      </c>
      <c r="G53" s="121"/>
      <c r="H53" s="121"/>
      <c r="I53" s="120"/>
      <c r="J53" s="129">
        <v>0</v>
      </c>
      <c r="K53" s="129">
        <v>0</v>
      </c>
      <c r="L53" s="129">
        <v>0</v>
      </c>
      <c r="M53" s="210">
        <v>0</v>
      </c>
      <c r="N53" s="129">
        <v>0</v>
      </c>
      <c r="O53" s="191"/>
      <c r="P53" s="129"/>
      <c r="Q53" s="129"/>
      <c r="R53" s="129"/>
      <c r="S53" s="129"/>
      <c r="T53" s="129"/>
      <c r="U53" s="17"/>
      <c r="V53" s="64" t="str">
        <f t="shared" si="9"/>
        <v>Ok</v>
      </c>
    </row>
    <row r="54" spans="1:22">
      <c r="A54" s="17"/>
      <c r="B54" s="17"/>
      <c r="C54" s="193"/>
      <c r="D54" s="120" t="s">
        <v>104</v>
      </c>
      <c r="E54" s="120" t="str">
        <f>units</f>
        <v>$millions</v>
      </c>
      <c r="F54" s="134" t="s">
        <v>105</v>
      </c>
      <c r="G54" s="121"/>
      <c r="H54" s="121"/>
      <c r="I54" s="120"/>
      <c r="J54" s="129"/>
      <c r="K54" s="129"/>
      <c r="L54" s="129"/>
      <c r="M54" s="192"/>
      <c r="N54" s="129"/>
      <c r="O54" s="191"/>
      <c r="P54" s="129"/>
      <c r="Q54" s="129"/>
      <c r="R54" s="129"/>
      <c r="S54" s="129"/>
      <c r="T54" s="129"/>
      <c r="U54" s="17"/>
      <c r="V54" s="64" t="str">
        <f t="shared" si="9"/>
        <v>Ok</v>
      </c>
    </row>
    <row r="55" spans="1:22">
      <c r="A55" s="17"/>
      <c r="B55" s="17"/>
      <c r="C55" s="127"/>
      <c r="D55" s="120" t="s">
        <v>104</v>
      </c>
      <c r="E55" s="120" t="str">
        <f>units</f>
        <v>$millions</v>
      </c>
      <c r="F55" s="134" t="s">
        <v>105</v>
      </c>
      <c r="G55" s="121"/>
      <c r="H55" s="121"/>
      <c r="I55" s="120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7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7"/>
      <c r="B56" s="17"/>
      <c r="C56" s="125"/>
      <c r="D56" s="120"/>
      <c r="E56" s="120"/>
      <c r="F56" s="120"/>
      <c r="G56" s="121"/>
      <c r="H56" s="121"/>
      <c r="I56" s="120"/>
      <c r="J56" s="17"/>
      <c r="K56" s="17"/>
      <c r="L56" s="17"/>
      <c r="M56" s="17"/>
      <c r="N56" s="136"/>
      <c r="O56" s="136"/>
      <c r="P56" s="136"/>
      <c r="Q56" s="136"/>
      <c r="R56" s="136"/>
      <c r="S56" s="136"/>
      <c r="T56" s="136"/>
      <c r="U56" s="17"/>
      <c r="V56" s="8"/>
    </row>
    <row r="57" spans="1:22">
      <c r="A57" s="17"/>
      <c r="B57" s="17"/>
      <c r="C57" s="130" t="s">
        <v>101</v>
      </c>
      <c r="D57" s="131" t="s">
        <v>54</v>
      </c>
      <c r="E57" s="135" t="str">
        <f>units</f>
        <v>$millions</v>
      </c>
      <c r="F57" s="132" t="s">
        <v>105</v>
      </c>
      <c r="G57" s="121"/>
      <c r="H57" s="121"/>
      <c r="I57" s="120"/>
      <c r="J57" s="137">
        <f>SUM(J51:J55)</f>
        <v>11.339936000000002</v>
      </c>
      <c r="K57" s="137">
        <f t="shared" ref="K57:S57" si="10">SUM(K51:K55)</f>
        <v>13.732125999999999</v>
      </c>
      <c r="L57" s="137">
        <f>SUM(L51:L55)</f>
        <v>13.434362</v>
      </c>
      <c r="M57" s="137">
        <f t="shared" si="10"/>
        <v>12.061885308210556</v>
      </c>
      <c r="N57" s="137">
        <f t="shared" si="10"/>
        <v>13.241821523056039</v>
      </c>
      <c r="O57" s="137">
        <f>SUM(O51:O55)</f>
        <v>0</v>
      </c>
      <c r="P57" s="137">
        <f t="shared" si="10"/>
        <v>0</v>
      </c>
      <c r="Q57" s="137">
        <f t="shared" si="10"/>
        <v>0</v>
      </c>
      <c r="R57" s="137">
        <f t="shared" si="10"/>
        <v>0</v>
      </c>
      <c r="S57" s="137">
        <f t="shared" si="10"/>
        <v>0</v>
      </c>
      <c r="T57" s="137"/>
      <c r="U57" s="17"/>
      <c r="V57" s="64"/>
    </row>
    <row r="58" spans="1:22">
      <c r="A58" s="17"/>
      <c r="B58" s="17"/>
      <c r="C58" s="17"/>
      <c r="D58" s="120"/>
      <c r="E58" s="120"/>
      <c r="F58" s="120"/>
      <c r="G58" s="121"/>
      <c r="H58" s="121"/>
      <c r="I58" s="120"/>
      <c r="J58" s="197"/>
      <c r="K58" s="197"/>
      <c r="L58" s="197"/>
      <c r="M58" s="197"/>
      <c r="N58" s="17"/>
      <c r="O58" s="17"/>
      <c r="P58" s="17"/>
      <c r="Q58" s="17"/>
      <c r="R58" s="17"/>
      <c r="S58" s="17"/>
      <c r="T58" s="17"/>
      <c r="U58" s="17"/>
      <c r="V58" s="8"/>
    </row>
    <row r="59" spans="1:22" ht="13.15">
      <c r="A59" s="32"/>
      <c r="B59" s="38" t="s">
        <v>113</v>
      </c>
      <c r="C59" s="32"/>
      <c r="D59" s="32"/>
      <c r="E59" s="32"/>
      <c r="F59" s="118"/>
      <c r="G59" s="118"/>
      <c r="H59" s="118"/>
      <c r="I59" s="118"/>
      <c r="J59" s="34"/>
      <c r="K59" s="119"/>
      <c r="L59" s="34"/>
      <c r="M59" s="119"/>
      <c r="N59" s="34"/>
      <c r="O59" s="34"/>
      <c r="P59" s="34"/>
      <c r="Q59" s="34"/>
      <c r="R59" s="34"/>
      <c r="S59" s="34"/>
      <c r="T59" s="34"/>
      <c r="U59" s="34"/>
      <c r="V59" s="35"/>
    </row>
    <row r="60" spans="1:22">
      <c r="A60" s="17"/>
      <c r="B60" s="17"/>
      <c r="C60" s="17"/>
      <c r="D60" s="120"/>
      <c r="E60" s="120"/>
      <c r="F60" s="120"/>
      <c r="G60" s="120"/>
      <c r="H60" s="120"/>
      <c r="I60" s="1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8"/>
    </row>
    <row r="61" spans="1:22">
      <c r="A61" s="17"/>
      <c r="B61" s="17"/>
      <c r="C61" s="122" t="s">
        <v>114</v>
      </c>
      <c r="D61" s="121" t="s">
        <v>33</v>
      </c>
      <c r="E61" s="121" t="s">
        <v>56</v>
      </c>
      <c r="F61" s="121" t="s">
        <v>62</v>
      </c>
      <c r="G61" s="121"/>
      <c r="H61" s="121"/>
      <c r="I61" s="121"/>
      <c r="J61" s="123" t="str">
        <f t="shared" ref="J61:S61" si="11">IF(YEAR(J$4)=PPLastYear,J$4,"")</f>
        <v/>
      </c>
      <c r="K61" s="123" t="str">
        <f t="shared" si="11"/>
        <v/>
      </c>
      <c r="L61" s="123" t="str">
        <f t="shared" si="11"/>
        <v/>
      </c>
      <c r="M61" s="123" t="str">
        <f t="shared" si="11"/>
        <v/>
      </c>
      <c r="N61" s="123">
        <f t="shared" si="11"/>
        <v>46174</v>
      </c>
      <c r="O61" s="123" t="str">
        <f t="shared" si="11"/>
        <v/>
      </c>
      <c r="P61" s="123" t="str">
        <f t="shared" si="11"/>
        <v/>
      </c>
      <c r="Q61" s="123" t="str">
        <f t="shared" si="11"/>
        <v/>
      </c>
      <c r="R61" s="123" t="str">
        <f t="shared" si="11"/>
        <v/>
      </c>
      <c r="S61" s="123" t="str">
        <f t="shared" si="11"/>
        <v/>
      </c>
      <c r="T61" s="123"/>
      <c r="U61" s="17"/>
      <c r="V61" s="8"/>
    </row>
    <row r="62" spans="1:22">
      <c r="A62" s="17"/>
      <c r="B62" s="17"/>
      <c r="C62" s="122"/>
      <c r="D62" s="121"/>
      <c r="E62" s="121"/>
      <c r="F62" s="121"/>
      <c r="G62" s="121"/>
      <c r="H62" s="121"/>
      <c r="I62" s="12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7"/>
      <c r="V62" s="8"/>
    </row>
    <row r="63" spans="1:22">
      <c r="A63" s="17"/>
      <c r="B63" s="17"/>
      <c r="C63" s="127"/>
      <c r="D63" s="120" t="s">
        <v>115</v>
      </c>
      <c r="E63" s="120" t="str">
        <f>units</f>
        <v>$millions</v>
      </c>
      <c r="F63" s="139">
        <f>DATE(PPLastYear,MONTH(month),1)</f>
        <v>46174</v>
      </c>
      <c r="G63" s="121"/>
      <c r="H63" s="121"/>
      <c r="I63" s="121"/>
      <c r="J63" s="129"/>
      <c r="K63" s="129"/>
      <c r="L63" s="129"/>
      <c r="M63" s="120"/>
      <c r="N63" s="201"/>
      <c r="O63" s="191"/>
      <c r="P63" s="129"/>
      <c r="Q63" s="129"/>
      <c r="R63" s="129"/>
      <c r="S63" s="129"/>
      <c r="T63" s="129"/>
      <c r="U63" s="17"/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7"/>
      <c r="B64" s="17"/>
      <c r="C64" s="127"/>
      <c r="D64" s="120" t="s">
        <v>115</v>
      </c>
      <c r="E64" s="120" t="str">
        <f>units</f>
        <v>$millions</v>
      </c>
      <c r="F64" s="139">
        <f>DATE(PPLastYear,MONTH(month),1)</f>
        <v>46174</v>
      </c>
      <c r="G64" s="121"/>
      <c r="H64" s="121"/>
      <c r="I64" s="121"/>
      <c r="J64" s="129"/>
      <c r="K64" s="129"/>
      <c r="L64" s="129"/>
      <c r="M64" s="120"/>
      <c r="N64" s="201"/>
      <c r="O64" s="191"/>
      <c r="P64" s="129"/>
      <c r="Q64" s="129"/>
      <c r="R64" s="129"/>
      <c r="S64" s="129"/>
      <c r="T64" s="129"/>
      <c r="U64" s="122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7"/>
      <c r="B65" s="17"/>
      <c r="C65" s="193"/>
      <c r="D65" s="120" t="s">
        <v>115</v>
      </c>
      <c r="E65" s="120" t="str">
        <f>units</f>
        <v>$millions</v>
      </c>
      <c r="F65" s="139">
        <f>DATE(PPLastYear,MONTH(month),1)</f>
        <v>46174</v>
      </c>
      <c r="G65" s="121"/>
      <c r="H65" s="121"/>
      <c r="I65" s="121"/>
      <c r="J65" s="129"/>
      <c r="K65" s="129"/>
      <c r="L65" s="129"/>
      <c r="M65" s="120"/>
      <c r="N65" s="201"/>
      <c r="O65" s="191"/>
      <c r="P65" s="129"/>
      <c r="Q65" s="129"/>
      <c r="R65" s="129"/>
      <c r="S65" s="129"/>
      <c r="T65" s="129"/>
      <c r="U65" s="122"/>
      <c r="V65" s="64" t="str">
        <f t="shared" si="12"/>
        <v>Ok</v>
      </c>
    </row>
    <row r="66" spans="1:22">
      <c r="A66" s="17"/>
      <c r="B66" s="17"/>
      <c r="C66" s="127"/>
      <c r="D66" s="120" t="s">
        <v>115</v>
      </c>
      <c r="E66" s="120" t="str">
        <f>units</f>
        <v>$millions</v>
      </c>
      <c r="F66" s="139">
        <f>DATE(PPLastYear,MONTH(month),1)</f>
        <v>46174</v>
      </c>
      <c r="G66" s="121"/>
      <c r="H66" s="121"/>
      <c r="I66" s="121"/>
      <c r="J66" s="129"/>
      <c r="K66" s="129"/>
      <c r="L66" s="129"/>
      <c r="M66" s="129"/>
      <c r="N66" s="201"/>
      <c r="O66" s="129"/>
      <c r="P66" s="129"/>
      <c r="Q66" s="129"/>
      <c r="R66" s="129"/>
      <c r="S66" s="129"/>
      <c r="T66" s="129"/>
      <c r="U66" s="122"/>
      <c r="V66" s="64" t="str">
        <f t="shared" si="12"/>
        <v>Ok</v>
      </c>
    </row>
    <row r="67" spans="1:22">
      <c r="A67" s="17"/>
      <c r="B67" s="17"/>
      <c r="C67" s="127"/>
      <c r="D67" s="120" t="s">
        <v>115</v>
      </c>
      <c r="E67" s="120" t="str">
        <f>units</f>
        <v>$millions</v>
      </c>
      <c r="F67" s="139">
        <f>DATE(PPLastYear,MONTH(month),1)</f>
        <v>46174</v>
      </c>
      <c r="G67" s="121"/>
      <c r="H67" s="121"/>
      <c r="I67" s="121"/>
      <c r="J67" s="129"/>
      <c r="K67" s="129"/>
      <c r="L67" s="129"/>
      <c r="M67" s="129"/>
      <c r="N67" s="201"/>
      <c r="O67" s="129"/>
      <c r="P67" s="129"/>
      <c r="Q67" s="129"/>
      <c r="R67" s="129"/>
      <c r="S67" s="129"/>
      <c r="T67" s="129"/>
      <c r="U67" s="122"/>
      <c r="V67" s="64" t="str">
        <f t="shared" si="12"/>
        <v>Ok</v>
      </c>
    </row>
    <row r="68" spans="1:22">
      <c r="A68" s="17"/>
      <c r="B68" s="17"/>
      <c r="C68" s="140"/>
      <c r="D68" s="120"/>
      <c r="E68" s="120"/>
      <c r="F68" s="121"/>
      <c r="G68" s="121"/>
      <c r="H68" s="121"/>
      <c r="I68" s="121"/>
      <c r="J68" s="141"/>
      <c r="K68" s="141"/>
      <c r="L68" s="141"/>
      <c r="M68" s="141"/>
      <c r="N68" s="203"/>
      <c r="O68" s="141"/>
      <c r="P68" s="141"/>
      <c r="Q68" s="141"/>
      <c r="R68" s="141"/>
      <c r="S68" s="141"/>
      <c r="T68" s="141"/>
      <c r="U68" s="122"/>
      <c r="V68" s="8"/>
    </row>
    <row r="69" spans="1:22">
      <c r="A69" s="17"/>
      <c r="B69" s="17"/>
      <c r="C69" s="142" t="s">
        <v>116</v>
      </c>
      <c r="D69" s="120" t="s">
        <v>115</v>
      </c>
      <c r="E69" s="120" t="str">
        <f>units</f>
        <v>$millions</v>
      </c>
      <c r="F69" s="139">
        <f>DATE(PPLastYear,MONTH(month),1)</f>
        <v>46174</v>
      </c>
      <c r="G69" s="121"/>
      <c r="H69" s="121"/>
      <c r="I69" s="121"/>
      <c r="J69" s="129"/>
      <c r="K69" s="129"/>
      <c r="L69" s="129"/>
      <c r="M69" s="129"/>
      <c r="N69" s="201">
        <v>0</v>
      </c>
      <c r="O69" s="191"/>
      <c r="P69" s="129"/>
      <c r="Q69" s="129"/>
      <c r="R69" s="129"/>
      <c r="S69" s="129"/>
      <c r="T69" s="129"/>
      <c r="U69" s="17"/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7"/>
      <c r="B70" s="17"/>
      <c r="C70" s="142"/>
      <c r="D70" s="120"/>
      <c r="E70" s="120"/>
      <c r="F70" s="121"/>
      <c r="G70" s="121"/>
      <c r="H70" s="121"/>
      <c r="I70" s="121"/>
      <c r="J70" s="141"/>
      <c r="K70" s="141"/>
      <c r="L70" s="141"/>
      <c r="M70" s="141"/>
      <c r="N70" s="203"/>
      <c r="O70" s="141"/>
      <c r="P70" s="141"/>
      <c r="Q70" s="141"/>
      <c r="R70" s="141"/>
      <c r="S70" s="141"/>
      <c r="T70" s="141"/>
      <c r="U70" s="122"/>
      <c r="V70" s="8"/>
    </row>
    <row r="71" spans="1:22">
      <c r="A71" s="17"/>
      <c r="B71" s="17"/>
      <c r="C71" s="142" t="s">
        <v>117</v>
      </c>
      <c r="D71" s="120" t="s">
        <v>115</v>
      </c>
      <c r="E71" s="120" t="s">
        <v>118</v>
      </c>
      <c r="F71" s="121"/>
      <c r="G71" s="121"/>
      <c r="H71" s="121"/>
      <c r="I71" s="121"/>
      <c r="J71" s="143"/>
      <c r="K71" s="143"/>
      <c r="L71" s="143"/>
      <c r="M71" s="143"/>
      <c r="N71" s="204">
        <v>0</v>
      </c>
      <c r="O71" s="191"/>
      <c r="P71" s="143"/>
      <c r="Q71" s="143"/>
      <c r="R71" s="143"/>
      <c r="S71" s="143"/>
      <c r="T71" s="143"/>
      <c r="U71" s="17"/>
      <c r="V71" s="64" t="str">
        <f t="shared" si="13"/>
        <v>Ok</v>
      </c>
    </row>
    <row r="72" spans="1:22">
      <c r="A72" s="17"/>
      <c r="B72" s="17"/>
      <c r="C72" s="125"/>
      <c r="D72" s="120"/>
      <c r="E72" s="120"/>
      <c r="F72" s="120"/>
      <c r="G72" s="121"/>
      <c r="H72" s="121"/>
      <c r="I72" s="12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8"/>
    </row>
    <row r="73" spans="1:22" ht="13.15">
      <c r="A73" s="32"/>
      <c r="B73" s="38" t="s">
        <v>23</v>
      </c>
      <c r="C73" s="32"/>
      <c r="D73" s="32"/>
      <c r="E73" s="32"/>
      <c r="F73" s="118"/>
      <c r="G73" s="118"/>
      <c r="H73" s="118"/>
      <c r="I73" s="118"/>
      <c r="J73" s="34"/>
      <c r="K73" s="119"/>
      <c r="L73" s="34"/>
      <c r="M73" s="119"/>
      <c r="N73" s="34"/>
      <c r="O73" s="34"/>
      <c r="P73" s="34"/>
      <c r="Q73" s="34"/>
      <c r="R73" s="34"/>
      <c r="S73" s="34"/>
      <c r="T73" s="34"/>
      <c r="U73" s="34"/>
      <c r="V73" s="35"/>
    </row>
  </sheetData>
  <conditionalFormatting sqref="J63:L65 N63:N65 O63:T67 J66:N67 J69:T69 J71:T71">
    <cfRule type="expression" dxfId="113" priority="69">
      <formula>J$61=J$4</formula>
    </cfRule>
  </conditionalFormatting>
  <conditionalFormatting sqref="J20:N27">
    <cfRule type="expression" dxfId="112" priority="77">
      <formula>J$10=J$4</formula>
    </cfRule>
  </conditionalFormatting>
  <conditionalFormatting sqref="J41:N45">
    <cfRule type="expression" dxfId="111" priority="3">
      <formula>J$34=J$4</formula>
    </cfRule>
  </conditionalFormatting>
  <conditionalFormatting sqref="J19:O19">
    <cfRule type="expression" dxfId="110" priority="32">
      <formula>J$10=J$4</formula>
    </cfRule>
  </conditionalFormatting>
  <conditionalFormatting sqref="J13:T13 P19:T20 O21:T27">
    <cfRule type="expression" dxfId="109" priority="37">
      <formula>J$10=J$4</formula>
    </cfRule>
  </conditionalFormatting>
  <conditionalFormatting sqref="J15:T15">
    <cfRule type="cellIs" dxfId="108" priority="40" operator="equal">
      <formula>0</formula>
    </cfRule>
  </conditionalFormatting>
  <conditionalFormatting sqref="J29:T29">
    <cfRule type="cellIs" dxfId="107" priority="33" operator="equal">
      <formula>0</formula>
    </cfRule>
  </conditionalFormatting>
  <conditionalFormatting sqref="J33:T33 N37:T37">
    <cfRule type="expression" dxfId="106" priority="38">
      <formula>J$34=J$4</formula>
    </cfRule>
  </conditionalFormatting>
  <conditionalFormatting sqref="J37:T37">
    <cfRule type="expression" dxfId="105" priority="36">
      <formula>J$10=J$4</formula>
    </cfRule>
  </conditionalFormatting>
  <conditionalFormatting sqref="J47:T47">
    <cfRule type="cellIs" dxfId="104" priority="35" operator="equal">
      <formula>0</formula>
    </cfRule>
  </conditionalFormatting>
  <conditionalFormatting sqref="J51:T55">
    <cfRule type="expression" dxfId="103" priority="2">
      <formula>J$34=J$4</formula>
    </cfRule>
  </conditionalFormatting>
  <conditionalFormatting sqref="J57:T57">
    <cfRule type="cellIs" dxfId="102" priority="39" operator="equal">
      <formula>0</formula>
    </cfRule>
  </conditionalFormatting>
  <conditionalFormatting sqref="N51:N53">
    <cfRule type="expression" dxfId="101" priority="1">
      <formula>N$10=N$4</formula>
    </cfRule>
  </conditionalFormatting>
  <conditionalFormatting sqref="O20">
    <cfRule type="expression" dxfId="100" priority="5">
      <formula>O$34=O$4</formula>
    </cfRule>
  </conditionalFormatting>
  <conditionalFormatting sqref="O41:T42 P43:T43 O44:T45">
    <cfRule type="expression" dxfId="99" priority="78">
      <formula>O$34=O$4</formula>
    </cfRule>
  </conditionalFormatting>
  <conditionalFormatting sqref="S1:T1">
    <cfRule type="cellIs" dxfId="98" priority="57" operator="equal">
      <formula>"Check"</formula>
    </cfRule>
    <cfRule type="cellIs" dxfId="97" priority="58" operator="equal">
      <formula>"Ok"</formula>
    </cfRule>
  </conditionalFormatting>
  <conditionalFormatting sqref="V1">
    <cfRule type="cellIs" dxfId="96" priority="87" operator="equal">
      <formula>"Ok"</formula>
    </cfRule>
    <cfRule type="cellIs" dxfId="95" priority="86" operator="equal">
      <formula>"Check"</formula>
    </cfRule>
  </conditionalFormatting>
  <conditionalFormatting sqref="V13">
    <cfRule type="cellIs" dxfId="94" priority="25" operator="equal">
      <formula>"Check"</formula>
    </cfRule>
    <cfRule type="cellIs" dxfId="93" priority="26" operator="equal">
      <formula>"Ok"</formula>
    </cfRule>
  </conditionalFormatting>
  <conditionalFormatting sqref="V15">
    <cfRule type="cellIs" dxfId="92" priority="88" operator="equal">
      <formula>"Check"</formula>
    </cfRule>
    <cfRule type="cellIs" dxfId="91" priority="89" operator="equal">
      <formula>"Ok"</formula>
    </cfRule>
  </conditionalFormatting>
  <conditionalFormatting sqref="V19:V27">
    <cfRule type="cellIs" dxfId="90" priority="23" operator="equal">
      <formula>"Check"</formula>
    </cfRule>
    <cfRule type="cellIs" dxfId="89" priority="24" operator="equal">
      <formula>"Ok"</formula>
    </cfRule>
  </conditionalFormatting>
  <conditionalFormatting sqref="V29">
    <cfRule type="cellIs" dxfId="88" priority="65" operator="equal">
      <formula>"Check"</formula>
    </cfRule>
    <cfRule type="cellIs" dxfId="87" priority="66" operator="equal">
      <formula>"Ok"</formula>
    </cfRule>
  </conditionalFormatting>
  <conditionalFormatting sqref="V37">
    <cfRule type="cellIs" dxfId="86" priority="20" operator="equal">
      <formula>"Ok"</formula>
    </cfRule>
    <cfRule type="cellIs" dxfId="85" priority="19" operator="equal">
      <formula>"Check"</formula>
    </cfRule>
  </conditionalFormatting>
  <conditionalFormatting sqref="V41:V45">
    <cfRule type="cellIs" dxfId="84" priority="16" operator="equal">
      <formula>"Ok"</formula>
    </cfRule>
    <cfRule type="cellIs" dxfId="83" priority="15" operator="equal">
      <formula>"Check"</formula>
    </cfRule>
  </conditionalFormatting>
  <conditionalFormatting sqref="V47">
    <cfRule type="cellIs" dxfId="82" priority="72" operator="equal">
      <formula>"Check"</formula>
    </cfRule>
    <cfRule type="cellIs" dxfId="81" priority="73" operator="equal">
      <formula>"Ok"</formula>
    </cfRule>
  </conditionalFormatting>
  <conditionalFormatting sqref="V48:V50">
    <cfRule type="cellIs" dxfId="80" priority="80" operator="equal">
      <formula>"Check"</formula>
    </cfRule>
    <cfRule type="cellIs" dxfId="79" priority="81" operator="equal">
      <formula>"Ok"</formula>
    </cfRule>
  </conditionalFormatting>
  <conditionalFormatting sqref="V51:V55">
    <cfRule type="cellIs" dxfId="78" priority="14" operator="equal">
      <formula>"Ok"</formula>
    </cfRule>
    <cfRule type="cellIs" dxfId="77" priority="13" operator="equal">
      <formula>"Check"</formula>
    </cfRule>
  </conditionalFormatting>
  <conditionalFormatting sqref="V52:V55">
    <cfRule type="cellIs" dxfId="76" priority="92" operator="equal">
      <formula>"Check"</formula>
    </cfRule>
    <cfRule type="cellIs" dxfId="75" priority="93" operator="equal">
      <formula>"Ok"</formula>
    </cfRule>
  </conditionalFormatting>
  <conditionalFormatting sqref="V57">
    <cfRule type="cellIs" dxfId="74" priority="90" operator="equal">
      <formula>"Check"</formula>
    </cfRule>
    <cfRule type="cellIs" dxfId="73" priority="91" operator="equal">
      <formula>"Ok"</formula>
    </cfRule>
  </conditionalFormatting>
  <conditionalFormatting sqref="V63:V67">
    <cfRule type="cellIs" dxfId="72" priority="12" operator="equal">
      <formula>"Ok"</formula>
    </cfRule>
    <cfRule type="cellIs" dxfId="71" priority="11" operator="equal">
      <formula>"Check"</formula>
    </cfRule>
  </conditionalFormatting>
  <conditionalFormatting sqref="V69">
    <cfRule type="cellIs" dxfId="70" priority="9" operator="equal">
      <formula>"Check"</formula>
    </cfRule>
    <cfRule type="cellIs" dxfId="69" priority="10" operator="equal">
      <formula>"Ok"</formula>
    </cfRule>
  </conditionalFormatting>
  <conditionalFormatting sqref="V71">
    <cfRule type="cellIs" dxfId="68" priority="7" operator="equal">
      <formula>"Check"</formula>
    </cfRule>
    <cfRule type="cellIs" dxfId="67" priority="8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O55 P51:T55 J51:N55" xr:uid="{4DD52D4E-5EDB-4419-8C55-4D6C586486C3}">
      <formula1>0</formula1>
    </dataValidation>
    <dataValidation type="decimal" operator="lessThanOrEqual" allowBlank="1" showInputMessage="1" showErrorMessage="1" sqref="J71:N71 P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O28" sqref="O28:S28"/>
    </sheetView>
  </sheetViews>
  <sheetFormatPr defaultColWidth="0" defaultRowHeight="10.1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>IF(COUNTA($W$8:$W$237)=COUNTIF($W$8:$W$237,"OK"),"OK","Check")</f>
        <v>OK</v>
      </c>
      <c r="U1" s="184" t="s">
        <v>30</v>
      </c>
      <c r="V1" s="29" t="str">
        <f>'Check|List'!$S$1</f>
        <v>Ok</v>
      </c>
    </row>
    <row r="2" spans="1:30" s="31" customFormat="1" ht="13.9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41</v>
      </c>
      <c r="K3" s="100"/>
      <c r="L3" s="100"/>
      <c r="M3" s="105"/>
      <c r="N3" s="218"/>
      <c r="O3" s="218"/>
      <c r="P3" s="218"/>
      <c r="Q3" s="218"/>
      <c r="R3" s="218"/>
      <c r="S3" s="218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33</v>
      </c>
      <c r="E4" s="56" t="s">
        <v>56</v>
      </c>
      <c r="F4" s="144" t="s">
        <v>62</v>
      </c>
      <c r="G4" s="145"/>
      <c r="H4" s="145"/>
      <c r="I4" s="145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176"/>
      <c r="W4" s="60"/>
    </row>
    <row r="5" spans="1:30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30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30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30" customFormat="1" ht="13.15">
      <c r="A8" s="32"/>
      <c r="B8" s="38" t="s">
        <v>119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119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30" outlineLevel="1">
      <c r="A10" s="17"/>
      <c r="B10" s="17"/>
      <c r="C10" s="122" t="s">
        <v>120</v>
      </c>
      <c r="D10" s="121" t="s">
        <v>33</v>
      </c>
      <c r="E10" s="121" t="s">
        <v>56</v>
      </c>
      <c r="F10" s="121" t="s">
        <v>62</v>
      </c>
      <c r="G10" s="121"/>
      <c r="H10" s="121"/>
      <c r="I10" s="138"/>
      <c r="J10" s="138" t="str">
        <f t="shared" ref="J10:T10" si="0">IF(YEAR(J$4)&gt;=FPFirstYear,IF(YEAR(J$4)&lt;=FPLastYear,J$4,""),"")</f>
        <v/>
      </c>
      <c r="K10" s="138" t="str">
        <f t="shared" si="0"/>
        <v/>
      </c>
      <c r="L10" s="138" t="str">
        <f t="shared" si="0"/>
        <v/>
      </c>
      <c r="M10" s="138" t="str">
        <f t="shared" si="0"/>
        <v/>
      </c>
      <c r="N10" s="138" t="str">
        <f t="shared" si="0"/>
        <v/>
      </c>
      <c r="O10" s="138">
        <f t="shared" si="0"/>
        <v>46539</v>
      </c>
      <c r="P10" s="138">
        <f t="shared" si="0"/>
        <v>46905</v>
      </c>
      <c r="Q10" s="138">
        <f t="shared" si="0"/>
        <v>47270</v>
      </c>
      <c r="R10" s="138">
        <f t="shared" si="0"/>
        <v>47635</v>
      </c>
      <c r="S10" s="138">
        <f t="shared" si="0"/>
        <v>48000</v>
      </c>
      <c r="T10" s="138" t="str">
        <f t="shared" si="0"/>
        <v/>
      </c>
      <c r="U10" s="17"/>
      <c r="V10" s="17"/>
    </row>
    <row r="11" spans="1:30" outlineLevel="1">
      <c r="A11" s="17"/>
      <c r="B11" s="17"/>
      <c r="C11" s="17"/>
      <c r="D11" s="120"/>
      <c r="E11" s="120"/>
      <c r="F11" s="120"/>
      <c r="G11" s="121"/>
      <c r="H11" s="121"/>
      <c r="I11" s="1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30" outlineLevel="1">
      <c r="A12" s="17"/>
      <c r="B12" s="17"/>
      <c r="C12" s="127"/>
      <c r="D12" s="120"/>
      <c r="E12" s="120" t="str">
        <f t="shared" ref="E12:E20" si="1">units</f>
        <v>$millions</v>
      </c>
      <c r="F12" s="139">
        <f t="shared" ref="F12:F20" si="2">DATE(PPLastYear,MONTH(month),1)</f>
        <v>46174</v>
      </c>
      <c r="G12" s="121"/>
      <c r="H12" s="121"/>
      <c r="I12" s="120"/>
      <c r="J12" s="158"/>
      <c r="K12" s="158"/>
      <c r="L12" s="158"/>
      <c r="M12" s="158"/>
      <c r="N12" s="158"/>
      <c r="O12" s="205"/>
      <c r="P12" s="205"/>
      <c r="Q12" s="205"/>
      <c r="R12" s="205"/>
      <c r="S12" s="205"/>
      <c r="T12" s="177"/>
      <c r="U12" s="17"/>
      <c r="V12" s="17"/>
      <c r="W12" s="81" t="str">
        <f>IF(ISBLANK(C12),IF(COUNT(J12:T12)=0,"Ok","Check"),IF(COUNT(J12:T12)=COUNT(J$10:T$10),"Ok","Check"))</f>
        <v>Ok</v>
      </c>
    </row>
    <row r="13" spans="1:30" outlineLevel="1">
      <c r="A13" s="17"/>
      <c r="B13" s="17"/>
      <c r="C13" s="127"/>
      <c r="D13" s="120"/>
      <c r="E13" s="120" t="str">
        <f t="shared" si="1"/>
        <v>$millions</v>
      </c>
      <c r="F13" s="139">
        <f t="shared" si="2"/>
        <v>46174</v>
      </c>
      <c r="G13" s="121"/>
      <c r="H13" s="121"/>
      <c r="I13" s="120"/>
      <c r="J13" s="158"/>
      <c r="K13" s="158"/>
      <c r="L13" s="158"/>
      <c r="M13" s="158"/>
      <c r="N13" s="158"/>
      <c r="O13" s="205"/>
      <c r="P13" s="205"/>
      <c r="Q13" s="205"/>
      <c r="R13" s="205"/>
      <c r="S13" s="205"/>
      <c r="T13" s="177"/>
      <c r="U13" s="17"/>
      <c r="V13" s="17"/>
      <c r="W13" s="81" t="str">
        <f>IF(ISBLANK(C13),IF(COUNT(J13:T13)=0,"Ok","Check"),IF(COUNT(J13:T13)=COUNT(J$10:T$10),"Ok","Check"))</f>
        <v>Ok</v>
      </c>
    </row>
    <row r="14" spans="1:30" outlineLevel="1">
      <c r="A14" s="17"/>
      <c r="B14" s="17"/>
      <c r="C14" s="127"/>
      <c r="D14" s="120"/>
      <c r="E14" s="120" t="str">
        <f t="shared" si="1"/>
        <v>$millions</v>
      </c>
      <c r="F14" s="139">
        <f t="shared" si="2"/>
        <v>46174</v>
      </c>
      <c r="G14" s="121"/>
      <c r="H14" s="121"/>
      <c r="I14" s="120"/>
      <c r="J14" s="158"/>
      <c r="K14" s="158"/>
      <c r="L14" s="158"/>
      <c r="M14" s="158"/>
      <c r="N14" s="158"/>
      <c r="O14" s="205"/>
      <c r="P14" s="205"/>
      <c r="Q14" s="205"/>
      <c r="R14" s="205"/>
      <c r="S14" s="205"/>
      <c r="T14" s="177"/>
      <c r="U14" s="17"/>
      <c r="V14" s="17"/>
      <c r="W14" s="81" t="str">
        <f>IF(ISBLANK(C14),IF(COUNT(J14:T14)=0,"Ok","Check"),IF(COUNT(J14:T14)=COUNT(J$10:T$10),"Ok","Check"))</f>
        <v>Ok</v>
      </c>
    </row>
    <row r="15" spans="1:30" outlineLevel="1">
      <c r="A15" s="17"/>
      <c r="B15" s="17"/>
      <c r="C15" s="127"/>
      <c r="D15" s="120"/>
      <c r="E15" s="120" t="str">
        <f t="shared" si="1"/>
        <v>$millions</v>
      </c>
      <c r="F15" s="139">
        <f t="shared" si="2"/>
        <v>46174</v>
      </c>
      <c r="G15" s="121"/>
      <c r="H15" s="121"/>
      <c r="I15" s="120"/>
      <c r="J15" s="158"/>
      <c r="K15" s="158"/>
      <c r="L15" s="158"/>
      <c r="M15" s="158"/>
      <c r="N15" s="158"/>
      <c r="O15" s="205"/>
      <c r="P15" s="205"/>
      <c r="Q15" s="205"/>
      <c r="R15" s="205"/>
      <c r="S15" s="205"/>
      <c r="T15" s="177"/>
      <c r="U15" s="17"/>
      <c r="V15" s="17"/>
      <c r="W15" s="81" t="str">
        <f>IF(ISBLANK(C15),IF(COUNT(J15:T15)=0,"Ok","Check"),IF(COUNT(J15:T15)=COUNT(J$10:T$10),"Ok","Check"))</f>
        <v>Ok</v>
      </c>
    </row>
    <row r="16" spans="1:30" outlineLevel="1">
      <c r="A16" s="17"/>
      <c r="B16" s="17"/>
      <c r="C16" s="127"/>
      <c r="D16" s="120"/>
      <c r="E16" s="120" t="str">
        <f t="shared" si="1"/>
        <v>$millions</v>
      </c>
      <c r="F16" s="139">
        <f t="shared" si="2"/>
        <v>46174</v>
      </c>
      <c r="G16" s="121"/>
      <c r="H16" s="121"/>
      <c r="I16" s="120"/>
      <c r="J16" s="158"/>
      <c r="K16" s="158"/>
      <c r="L16" s="158"/>
      <c r="M16" s="158"/>
      <c r="N16" s="158"/>
      <c r="O16" s="178"/>
      <c r="P16" s="178"/>
      <c r="Q16" s="178"/>
      <c r="R16" s="178"/>
      <c r="S16" s="178"/>
      <c r="T16" s="177"/>
      <c r="U16" s="17"/>
      <c r="V16" s="17"/>
      <c r="W16" s="81" t="str">
        <f t="shared" ref="W16:W20" si="3">IF(ISBLANK(C16),IF(COUNT(J16:T16)=0,"Ok","Check"),IF(COUNT(J16:T16)=COUNT(J$10:T$10),"Ok","Check"))</f>
        <v>Ok</v>
      </c>
    </row>
    <row r="17" spans="1:30" outlineLevel="1">
      <c r="A17" s="17"/>
      <c r="B17" s="17"/>
      <c r="C17" s="127"/>
      <c r="D17" s="120"/>
      <c r="E17" s="120" t="str">
        <f t="shared" si="1"/>
        <v>$millions</v>
      </c>
      <c r="F17" s="139">
        <f t="shared" si="2"/>
        <v>46174</v>
      </c>
      <c r="G17" s="121"/>
      <c r="H17" s="121"/>
      <c r="I17" s="120"/>
      <c r="J17" s="158"/>
      <c r="K17" s="158"/>
      <c r="L17" s="158"/>
      <c r="M17" s="158"/>
      <c r="N17" s="158"/>
      <c r="O17" s="177"/>
      <c r="P17" s="177"/>
      <c r="Q17" s="177"/>
      <c r="R17" s="177"/>
      <c r="S17" s="177"/>
      <c r="T17" s="177"/>
      <c r="U17" s="17"/>
      <c r="V17" s="17"/>
      <c r="W17" s="81" t="str">
        <f t="shared" si="3"/>
        <v>Ok</v>
      </c>
    </row>
    <row r="18" spans="1:30" outlineLevel="1">
      <c r="A18" s="17"/>
      <c r="B18" s="17"/>
      <c r="C18" s="127"/>
      <c r="D18" s="120"/>
      <c r="E18" s="120" t="str">
        <f t="shared" si="1"/>
        <v>$millions</v>
      </c>
      <c r="F18" s="139">
        <f t="shared" si="2"/>
        <v>46174</v>
      </c>
      <c r="G18" s="121"/>
      <c r="H18" s="121"/>
      <c r="I18" s="120"/>
      <c r="J18" s="158"/>
      <c r="K18" s="158"/>
      <c r="L18" s="158"/>
      <c r="M18" s="158"/>
      <c r="N18" s="158"/>
      <c r="O18" s="177"/>
      <c r="P18" s="177"/>
      <c r="Q18" s="177"/>
      <c r="R18" s="177"/>
      <c r="S18" s="177"/>
      <c r="T18" s="177"/>
      <c r="U18" s="17"/>
      <c r="V18" s="17"/>
      <c r="W18" s="81" t="str">
        <f t="shared" si="3"/>
        <v>Ok</v>
      </c>
    </row>
    <row r="19" spans="1:30" outlineLevel="1">
      <c r="A19" s="17"/>
      <c r="B19" s="17"/>
      <c r="C19" s="127"/>
      <c r="D19" s="120"/>
      <c r="E19" s="120" t="str">
        <f t="shared" si="1"/>
        <v>$millions</v>
      </c>
      <c r="F19" s="139">
        <f t="shared" si="2"/>
        <v>46174</v>
      </c>
      <c r="G19" s="121"/>
      <c r="H19" s="121"/>
      <c r="I19" s="120"/>
      <c r="J19" s="158"/>
      <c r="K19" s="158"/>
      <c r="L19" s="158"/>
      <c r="M19" s="158"/>
      <c r="N19" s="158"/>
      <c r="O19" s="177"/>
      <c r="P19" s="177"/>
      <c r="Q19" s="177"/>
      <c r="R19" s="177"/>
      <c r="S19" s="177"/>
      <c r="T19" s="177"/>
      <c r="U19" s="17"/>
      <c r="V19" s="17"/>
      <c r="W19" s="81" t="str">
        <f t="shared" si="3"/>
        <v>Ok</v>
      </c>
    </row>
    <row r="20" spans="1:30" outlineLevel="1">
      <c r="A20" s="17"/>
      <c r="B20" s="17"/>
      <c r="C20" s="127"/>
      <c r="D20" s="120"/>
      <c r="E20" s="120" t="str">
        <f t="shared" si="1"/>
        <v>$millions</v>
      </c>
      <c r="F20" s="139">
        <f t="shared" si="2"/>
        <v>46174</v>
      </c>
      <c r="G20" s="121"/>
      <c r="H20" s="121"/>
      <c r="I20" s="120"/>
      <c r="J20" s="158"/>
      <c r="K20" s="158"/>
      <c r="L20" s="158"/>
      <c r="M20" s="158"/>
      <c r="N20" s="158"/>
      <c r="O20" s="177"/>
      <c r="P20" s="177"/>
      <c r="Q20" s="177"/>
      <c r="R20" s="177"/>
      <c r="S20" s="177"/>
      <c r="T20" s="177"/>
      <c r="U20" s="17"/>
      <c r="V20" s="17"/>
      <c r="W20" s="81" t="str">
        <f t="shared" si="3"/>
        <v>Ok</v>
      </c>
    </row>
    <row r="21" spans="1:30" outlineLevel="1">
      <c r="A21" s="17"/>
      <c r="B21" s="17"/>
      <c r="C21" s="17"/>
      <c r="D21" s="120"/>
      <c r="E21" s="120"/>
      <c r="F21" s="120"/>
      <c r="G21" s="121"/>
      <c r="H21" s="121"/>
      <c r="I21" s="1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0" outlineLevel="1">
      <c r="A22" s="17"/>
      <c r="B22" s="17"/>
      <c r="C22" s="17" t="s">
        <v>72</v>
      </c>
      <c r="D22" s="120" t="s">
        <v>64</v>
      </c>
      <c r="E22" s="120" t="s">
        <v>73</v>
      </c>
      <c r="F22" s="120" t="s">
        <v>74</v>
      </c>
      <c r="G22" s="120"/>
      <c r="H22" s="120"/>
      <c r="I22" s="120"/>
      <c r="J22" s="165" t="str">
        <f t="shared" ref="J22:S22" si="4">IF(J10=J4,IF(COUNTA($C12:$C20)=COUNT(J12:J20),"Ok","Check"),"")</f>
        <v/>
      </c>
      <c r="K22" s="165" t="str">
        <f t="shared" si="4"/>
        <v/>
      </c>
      <c r="L22" s="165" t="str">
        <f t="shared" si="4"/>
        <v/>
      </c>
      <c r="M22" s="165" t="str">
        <f t="shared" si="4"/>
        <v/>
      </c>
      <c r="N22" s="165" t="str">
        <f t="shared" si="4"/>
        <v/>
      </c>
      <c r="O22" s="165" t="str">
        <f t="shared" si="4"/>
        <v>Ok</v>
      </c>
      <c r="P22" s="165" t="str">
        <f t="shared" si="4"/>
        <v>Ok</v>
      </c>
      <c r="Q22" s="165" t="str">
        <f t="shared" si="4"/>
        <v>Ok</v>
      </c>
      <c r="R22" s="165" t="str">
        <f t="shared" si="4"/>
        <v>Ok</v>
      </c>
      <c r="S22" s="165" t="str">
        <f t="shared" si="4"/>
        <v>Ok</v>
      </c>
      <c r="T22" s="165" t="str">
        <f t="shared" ref="T22" si="5">IF(T10=T4,IF(COUNTA($C12:$C20)=COUNT(T12:T20),"Ok","Check"),"")</f>
        <v/>
      </c>
      <c r="U22" s="166"/>
      <c r="V22" s="17"/>
      <c r="W22" s="81" t="str">
        <f>IF(COUNTIF(J22:T22,"Check")=0,"Ok","Check")</f>
        <v>Ok</v>
      </c>
    </row>
    <row r="23" spans="1:30">
      <c r="A23" s="17"/>
      <c r="B23" s="17"/>
      <c r="C23" s="17"/>
      <c r="D23" s="120"/>
      <c r="E23" s="120"/>
      <c r="F23" s="120"/>
      <c r="G23" s="121"/>
      <c r="H23" s="121"/>
      <c r="I23" s="12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30" customFormat="1" ht="13.15">
      <c r="A24" s="32"/>
      <c r="B24" s="38" t="s">
        <v>121</v>
      </c>
      <c r="C24" s="32"/>
      <c r="D24" s="32"/>
      <c r="E24" s="32"/>
      <c r="F24" s="118"/>
      <c r="G24" s="118"/>
      <c r="H24" s="118"/>
      <c r="I24" s="118"/>
      <c r="J24" s="34"/>
      <c r="K24" s="119"/>
      <c r="L24" s="34"/>
      <c r="M24" s="119"/>
      <c r="N24" s="34"/>
      <c r="O24" s="34"/>
      <c r="P24" s="34"/>
      <c r="Q24" s="34"/>
      <c r="R24" s="34"/>
      <c r="S24" s="34"/>
      <c r="T24" s="34"/>
      <c r="U24" s="34"/>
      <c r="V24" s="119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7"/>
      <c r="B25" s="17"/>
      <c r="C25" s="17"/>
      <c r="D25" s="120"/>
      <c r="E25" s="120"/>
      <c r="F25" s="120"/>
      <c r="G25" s="121"/>
      <c r="H25" s="121"/>
      <c r="I25" s="1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0" outlineLevel="1">
      <c r="A26" s="17"/>
      <c r="B26" s="17"/>
      <c r="C26" s="122" t="s">
        <v>122</v>
      </c>
      <c r="D26" s="121" t="s">
        <v>33</v>
      </c>
      <c r="E26" s="121" t="s">
        <v>56</v>
      </c>
      <c r="F26" s="121" t="s">
        <v>62</v>
      </c>
      <c r="G26" s="121"/>
      <c r="H26" s="121"/>
      <c r="I26" s="120"/>
      <c r="J26" s="138" t="str">
        <f t="shared" ref="J26:T26" si="6">IF(YEAR(J$4)&gt;=FPFirstYear,IF(YEAR(J$4)&lt;=FPLastYear,J$4,""),"")</f>
        <v/>
      </c>
      <c r="K26" s="138" t="str">
        <f t="shared" si="6"/>
        <v/>
      </c>
      <c r="L26" s="138" t="str">
        <f t="shared" si="6"/>
        <v/>
      </c>
      <c r="M26" s="138" t="str">
        <f t="shared" si="6"/>
        <v/>
      </c>
      <c r="N26" s="138" t="str">
        <f t="shared" si="6"/>
        <v/>
      </c>
      <c r="O26" s="138">
        <f t="shared" si="6"/>
        <v>46539</v>
      </c>
      <c r="P26" s="138">
        <f t="shared" si="6"/>
        <v>46905</v>
      </c>
      <c r="Q26" s="138">
        <f t="shared" si="6"/>
        <v>47270</v>
      </c>
      <c r="R26" s="138">
        <f t="shared" si="6"/>
        <v>47635</v>
      </c>
      <c r="S26" s="138">
        <f t="shared" si="6"/>
        <v>48000</v>
      </c>
      <c r="T26" s="138" t="str">
        <f t="shared" si="6"/>
        <v/>
      </c>
      <c r="U26" s="17"/>
      <c r="V26" s="17"/>
    </row>
    <row r="27" spans="1:30" outlineLevel="1">
      <c r="A27" s="17"/>
      <c r="B27" s="17"/>
      <c r="C27" s="17"/>
      <c r="D27" s="120"/>
      <c r="E27" s="120"/>
      <c r="F27" s="120"/>
      <c r="G27" s="121"/>
      <c r="H27" s="121"/>
      <c r="I27" s="1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0" outlineLevel="1">
      <c r="A28" s="17"/>
      <c r="B28" s="17"/>
      <c r="C28" s="179" t="s">
        <v>99</v>
      </c>
      <c r="D28" s="120"/>
      <c r="E28" s="120" t="str">
        <f>units</f>
        <v>$millions</v>
      </c>
      <c r="F28" s="139">
        <f>DATE(PPLastYear,MONTH(month),1)</f>
        <v>46174</v>
      </c>
      <c r="G28" s="121"/>
      <c r="H28" s="121"/>
      <c r="I28" s="120"/>
      <c r="J28" s="158"/>
      <c r="K28" s="158"/>
      <c r="L28" s="158"/>
      <c r="M28" s="158"/>
      <c r="N28" s="177"/>
      <c r="O28" s="205">
        <v>2.3456415862844704</v>
      </c>
      <c r="P28" s="205">
        <v>2.0292000601893219</v>
      </c>
      <c r="Q28" s="205">
        <v>1.8862468578174103</v>
      </c>
      <c r="R28" s="205">
        <v>1.6705624784180768</v>
      </c>
      <c r="S28" s="205">
        <v>1.4902728063187181</v>
      </c>
      <c r="T28" s="177"/>
      <c r="U28" s="17"/>
      <c r="V28" s="17"/>
      <c r="W28" s="81" t="str">
        <f>IF(ISBLANK(C28),IF(COUNT(J28:T28)=0,"Ok","Check"),IF(COUNT(J28:T28)=COUNT(J$10:T$10),"Ok","Check"))</f>
        <v>Ok</v>
      </c>
    </row>
    <row r="29" spans="1:30" outlineLevel="1">
      <c r="A29" s="17"/>
      <c r="B29" s="17"/>
      <c r="C29" s="206"/>
      <c r="D29" s="120"/>
      <c r="E29" s="120" t="str">
        <f>units</f>
        <v>$millions</v>
      </c>
      <c r="F29" s="139">
        <f>DATE(PPLastYear,MONTH(month),1)</f>
        <v>46174</v>
      </c>
      <c r="G29" s="121"/>
      <c r="H29" s="121"/>
      <c r="I29" s="120"/>
      <c r="J29" s="158"/>
      <c r="K29" s="158"/>
      <c r="L29" s="158"/>
      <c r="M29" s="158"/>
      <c r="N29" s="177"/>
      <c r="O29" s="205"/>
      <c r="P29" s="205"/>
      <c r="Q29" s="205"/>
      <c r="R29" s="205"/>
      <c r="S29" s="205"/>
      <c r="T29" s="177"/>
      <c r="U29" s="17"/>
      <c r="V29" s="17"/>
      <c r="W29" s="81" t="str">
        <f>IF(ISBLANK(C29),IF(COUNT(J29:T29)=0,"Ok","Check"),IF(COUNT(J29:T29)=COUNT(J$10:T$10),"Ok","Check"))</f>
        <v>Ok</v>
      </c>
    </row>
    <row r="30" spans="1:30" outlineLevel="1">
      <c r="A30" s="17"/>
      <c r="B30" s="17"/>
      <c r="C30" s="179"/>
      <c r="D30" s="120"/>
      <c r="E30" s="120" t="str">
        <f>units</f>
        <v>$millions</v>
      </c>
      <c r="F30" s="139">
        <f>DATE(PPLastYear,MONTH(month),1)</f>
        <v>46174</v>
      </c>
      <c r="G30" s="121"/>
      <c r="H30" s="121"/>
      <c r="I30" s="120"/>
      <c r="J30" s="158"/>
      <c r="K30" s="158"/>
      <c r="L30" s="158"/>
      <c r="M30" s="158"/>
      <c r="N30" s="177"/>
      <c r="O30" s="205"/>
      <c r="P30" s="205"/>
      <c r="Q30" s="205"/>
      <c r="R30" s="205"/>
      <c r="S30" s="205"/>
      <c r="T30" s="177"/>
      <c r="U30" s="17"/>
      <c r="V30" s="17"/>
      <c r="W30" s="81" t="str">
        <f>IF(ISBLANK(C30),IF(COUNT(J30:T30)=0,"Ok","Check"),IF(COUNT(J30:T30)=COUNT(J$10:T$10),"Ok","Check"))</f>
        <v>Ok</v>
      </c>
    </row>
    <row r="31" spans="1:30" outlineLevel="1">
      <c r="A31" s="17"/>
      <c r="B31" s="17"/>
      <c r="C31" s="180"/>
      <c r="D31" s="120"/>
      <c r="E31" s="120" t="str">
        <f>units</f>
        <v>$millions</v>
      </c>
      <c r="F31" s="139">
        <f>DATE(PPLastYear,MONTH(month),1)</f>
        <v>46174</v>
      </c>
      <c r="G31" s="121"/>
      <c r="H31" s="121"/>
      <c r="I31" s="120"/>
      <c r="J31" s="158"/>
      <c r="K31" s="158"/>
      <c r="L31" s="158"/>
      <c r="M31" s="158"/>
      <c r="N31" s="177"/>
      <c r="O31" s="205"/>
      <c r="P31" s="205"/>
      <c r="Q31" s="205"/>
      <c r="R31" s="205"/>
      <c r="S31" s="205"/>
      <c r="T31" s="177"/>
      <c r="U31" s="17"/>
      <c r="V31" s="17"/>
      <c r="W31" s="81" t="str">
        <f>IF(ISBLANK(C31),IF(COUNT(J31:T31)=0,"Ok","Check"),IF(COUNT(J31:T31)=COUNT(J$10:T$10),"Ok","Check"))</f>
        <v>Ok</v>
      </c>
    </row>
    <row r="32" spans="1:30" outlineLevel="1">
      <c r="A32" s="17"/>
      <c r="B32" s="17"/>
      <c r="C32" s="127"/>
      <c r="D32" s="120"/>
      <c r="E32" s="120" t="str">
        <f>units</f>
        <v>$millions</v>
      </c>
      <c r="F32" s="139">
        <f>DATE(PPLastYear,MONTH(month),1)</f>
        <v>46174</v>
      </c>
      <c r="G32" s="121"/>
      <c r="H32" s="121"/>
      <c r="I32" s="120"/>
      <c r="J32" s="158"/>
      <c r="K32" s="158"/>
      <c r="L32" s="158"/>
      <c r="M32" s="158"/>
      <c r="N32" s="177"/>
      <c r="O32" s="205"/>
      <c r="P32" s="205"/>
      <c r="Q32" s="205"/>
      <c r="R32" s="205"/>
      <c r="S32" s="205"/>
      <c r="T32" s="177"/>
      <c r="U32" s="17"/>
      <c r="V32" s="17"/>
      <c r="W32" s="81" t="str">
        <f>IF(ISBLANK(C32),IF(COUNT(J32:T32)=0,"Ok","Check"),IF(COUNT(J32:T32)=COUNT(J$10:T$10),"Ok","Check"))</f>
        <v>Ok</v>
      </c>
    </row>
    <row r="33" spans="1:30" outlineLevel="1">
      <c r="A33" s="17"/>
      <c r="B33" s="17"/>
      <c r="C33" s="17"/>
      <c r="D33" s="120"/>
      <c r="E33" s="120"/>
      <c r="F33" s="120"/>
      <c r="G33" s="121"/>
      <c r="H33" s="121"/>
      <c r="I33" s="12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30" outlineLevel="1">
      <c r="A34" s="17"/>
      <c r="B34" s="17"/>
      <c r="C34" s="17" t="s">
        <v>72</v>
      </c>
      <c r="D34" s="120" t="s">
        <v>64</v>
      </c>
      <c r="E34" s="120" t="s">
        <v>73</v>
      </c>
      <c r="F34" s="120" t="s">
        <v>74</v>
      </c>
      <c r="G34" s="120"/>
      <c r="H34" s="120"/>
      <c r="I34" s="120"/>
      <c r="J34" s="165" t="str">
        <f t="shared" ref="J34:T34" si="7">IF(J26=J4,IF(COUNTA($C28:$C32)=COUNT(J28:J32),"Ok","Check"),"")</f>
        <v/>
      </c>
      <c r="K34" s="165" t="str">
        <f t="shared" si="7"/>
        <v/>
      </c>
      <c r="L34" s="165" t="str">
        <f t="shared" si="7"/>
        <v/>
      </c>
      <c r="M34" s="165" t="str">
        <f t="shared" si="7"/>
        <v/>
      </c>
      <c r="N34" s="165" t="str">
        <f t="shared" si="7"/>
        <v/>
      </c>
      <c r="O34" s="165" t="str">
        <f t="shared" si="7"/>
        <v>Ok</v>
      </c>
      <c r="P34" s="165" t="str">
        <f t="shared" si="7"/>
        <v>Ok</v>
      </c>
      <c r="Q34" s="165" t="str">
        <f t="shared" si="7"/>
        <v>Ok</v>
      </c>
      <c r="R34" s="165" t="str">
        <f t="shared" si="7"/>
        <v>Ok</v>
      </c>
      <c r="S34" s="165" t="str">
        <f t="shared" si="7"/>
        <v>Ok</v>
      </c>
      <c r="T34" s="165" t="str">
        <f t="shared" si="7"/>
        <v/>
      </c>
      <c r="U34" s="166"/>
      <c r="V34" s="17"/>
      <c r="W34" s="81" t="str">
        <f>IF(COUNTIF(J34:T34,"Check")=0,"Ok","Check")</f>
        <v>Ok</v>
      </c>
    </row>
    <row r="35" spans="1:30">
      <c r="A35" s="17"/>
      <c r="B35" s="17"/>
      <c r="C35" s="17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30" customFormat="1" ht="13.15">
      <c r="A36" s="32"/>
      <c r="B36" s="38" t="s">
        <v>123</v>
      </c>
      <c r="C36" s="32"/>
      <c r="D36" s="32"/>
      <c r="E36" s="32"/>
      <c r="F36" s="118"/>
      <c r="G36" s="118"/>
      <c r="H36" s="118"/>
      <c r="I36" s="118"/>
      <c r="J36" s="34"/>
      <c r="K36" s="119"/>
      <c r="L36" s="34"/>
      <c r="M36" s="119"/>
      <c r="N36" s="34"/>
      <c r="O36" s="34"/>
      <c r="P36" s="34"/>
      <c r="Q36" s="34"/>
      <c r="R36" s="34"/>
      <c r="S36" s="34"/>
      <c r="T36" s="34"/>
      <c r="U36" s="34"/>
      <c r="V36" s="119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7"/>
      <c r="B37" s="17"/>
      <c r="C37" s="17"/>
      <c r="D37" s="120"/>
      <c r="E37" s="120"/>
      <c r="F37" s="120"/>
      <c r="G37" s="121"/>
      <c r="H37" s="121"/>
      <c r="I37" s="12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30" outlineLevel="1">
      <c r="A38" s="17"/>
      <c r="B38" s="17"/>
      <c r="C38" s="122" t="s">
        <v>124</v>
      </c>
      <c r="D38" s="121" t="s">
        <v>33</v>
      </c>
      <c r="E38" s="121" t="s">
        <v>56</v>
      </c>
      <c r="F38" s="121" t="s">
        <v>62</v>
      </c>
      <c r="G38" s="121"/>
      <c r="H38" s="121"/>
      <c r="I38" s="120"/>
      <c r="J38" s="138" t="str">
        <f t="shared" ref="J38:T38" si="8">IF(YEAR(J$4)&gt;=FPFirstYear,IF(YEAR(J$4)&lt;=FPLastYear,J$4,""),"")</f>
        <v/>
      </c>
      <c r="K38" s="138" t="str">
        <f t="shared" si="8"/>
        <v/>
      </c>
      <c r="L38" s="138" t="str">
        <f t="shared" si="8"/>
        <v/>
      </c>
      <c r="M38" s="138" t="str">
        <f t="shared" si="8"/>
        <v/>
      </c>
      <c r="N38" s="138" t="str">
        <f t="shared" si="8"/>
        <v/>
      </c>
      <c r="O38" s="138">
        <f t="shared" si="8"/>
        <v>46539</v>
      </c>
      <c r="P38" s="138">
        <f t="shared" si="8"/>
        <v>46905</v>
      </c>
      <c r="Q38" s="138">
        <f t="shared" si="8"/>
        <v>47270</v>
      </c>
      <c r="R38" s="138">
        <f t="shared" si="8"/>
        <v>47635</v>
      </c>
      <c r="S38" s="138">
        <f t="shared" si="8"/>
        <v>48000</v>
      </c>
      <c r="T38" s="138" t="str">
        <f t="shared" si="8"/>
        <v/>
      </c>
      <c r="U38" s="17"/>
      <c r="V38" s="17"/>
    </row>
    <row r="39" spans="1:30" outlineLevel="1">
      <c r="A39" s="17"/>
      <c r="B39" s="17"/>
      <c r="C39" s="17"/>
      <c r="D39" s="120"/>
      <c r="E39" s="120"/>
      <c r="F39" s="120"/>
      <c r="G39" s="121"/>
      <c r="H39" s="121"/>
      <c r="I39" s="12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30" outlineLevel="1">
      <c r="A40" s="17"/>
      <c r="B40" s="17"/>
      <c r="C40" s="125" t="s">
        <v>100</v>
      </c>
      <c r="D40" s="120" t="s">
        <v>125</v>
      </c>
      <c r="E40" s="120" t="s">
        <v>48</v>
      </c>
      <c r="F40" s="139">
        <f>DATE(PPLastYear,MONTH(month),1)</f>
        <v>46174</v>
      </c>
      <c r="G40" s="121"/>
      <c r="H40" s="121"/>
      <c r="I40" s="121"/>
      <c r="J40" s="177"/>
      <c r="K40" s="177"/>
      <c r="L40" s="177"/>
      <c r="M40" s="177"/>
      <c r="N40" s="177"/>
      <c r="O40" s="205">
        <v>0.20032528521675697</v>
      </c>
      <c r="P40" s="205">
        <v>0.18394122379709088</v>
      </c>
      <c r="Q40" s="205">
        <v>0.16669631060623782</v>
      </c>
      <c r="R40" s="205">
        <v>0.14921287326083044</v>
      </c>
      <c r="S40" s="205">
        <v>0.13259261151771071</v>
      </c>
      <c r="T40" s="177"/>
      <c r="U40" s="17"/>
      <c r="V40" s="17"/>
    </row>
    <row r="41" spans="1:30" outlineLevel="1">
      <c r="A41" s="17"/>
      <c r="B41" s="17"/>
      <c r="C41" s="17"/>
      <c r="D41" s="120"/>
      <c r="E41" s="120"/>
      <c r="F41" s="120"/>
      <c r="G41" s="121"/>
      <c r="H41" s="121"/>
      <c r="I41" s="12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30" outlineLevel="1">
      <c r="A42" s="17"/>
      <c r="B42" s="17"/>
      <c r="C42" s="17" t="s">
        <v>72</v>
      </c>
      <c r="D42" s="120" t="s">
        <v>64</v>
      </c>
      <c r="E42" s="120" t="s">
        <v>73</v>
      </c>
      <c r="F42" s="120" t="s">
        <v>74</v>
      </c>
      <c r="G42" s="120"/>
      <c r="H42" s="120"/>
      <c r="I42" s="120"/>
      <c r="J42" s="165" t="str">
        <f t="shared" ref="J42:T42" si="9">IF(J38=J4,IF(ISBLANK(J40),"Check","Ok"),"")</f>
        <v/>
      </c>
      <c r="K42" s="165" t="str">
        <f t="shared" si="9"/>
        <v/>
      </c>
      <c r="L42" s="165" t="str">
        <f t="shared" si="9"/>
        <v/>
      </c>
      <c r="M42" s="165" t="str">
        <f t="shared" si="9"/>
        <v/>
      </c>
      <c r="N42" s="165" t="str">
        <f t="shared" si="9"/>
        <v/>
      </c>
      <c r="O42" s="165" t="str">
        <f t="shared" si="9"/>
        <v>Ok</v>
      </c>
      <c r="P42" s="165" t="str">
        <f t="shared" si="9"/>
        <v>Ok</v>
      </c>
      <c r="Q42" s="165" t="str">
        <f t="shared" si="9"/>
        <v>Ok</v>
      </c>
      <c r="R42" s="165" t="str">
        <f t="shared" si="9"/>
        <v>Ok</v>
      </c>
      <c r="S42" s="165" t="str">
        <f t="shared" si="9"/>
        <v>Ok</v>
      </c>
      <c r="T42" s="165" t="str">
        <f t="shared" si="9"/>
        <v/>
      </c>
      <c r="U42" s="166"/>
      <c r="V42" s="17"/>
      <c r="W42" s="81" t="str">
        <f>IF(COUNTIF(J42:T42,"Check")=0,"Ok","Check")</f>
        <v>Ok</v>
      </c>
    </row>
    <row r="43" spans="1:30">
      <c r="A43" s="17"/>
      <c r="B43" s="17"/>
      <c r="C43" s="17"/>
      <c r="D43" s="120"/>
      <c r="E43" s="120"/>
      <c r="F43" s="120"/>
      <c r="G43" s="121"/>
      <c r="H43" s="121"/>
      <c r="I43" s="12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30" customFormat="1" ht="13.15">
      <c r="A44" s="32"/>
      <c r="B44" s="38" t="s">
        <v>23</v>
      </c>
      <c r="C44" s="32"/>
      <c r="D44" s="32"/>
      <c r="E44" s="32"/>
      <c r="F44" s="118"/>
      <c r="G44" s="118"/>
      <c r="H44" s="118"/>
      <c r="I44" s="118"/>
      <c r="J44" s="34"/>
      <c r="K44" s="119"/>
      <c r="L44" s="34"/>
      <c r="M44" s="119"/>
      <c r="N44" s="34"/>
      <c r="O44" s="34"/>
      <c r="P44" s="34"/>
      <c r="Q44" s="34"/>
      <c r="R44" s="34"/>
      <c r="S44" s="34"/>
      <c r="T44" s="34"/>
      <c r="U44" s="34"/>
      <c r="V44" s="119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J28:M32 O31:O32">
    <cfRule type="expression" dxfId="66" priority="25">
      <formula>J$26=J$4</formula>
    </cfRule>
  </conditionalFormatting>
  <conditionalFormatting sqref="J10:T10">
    <cfRule type="expression" dxfId="65" priority="37">
      <formula>J$10=J$4</formula>
    </cfRule>
  </conditionalFormatting>
  <conditionalFormatting sqref="J12:T20">
    <cfRule type="expression" dxfId="64" priority="13">
      <formula>J$10=J$4</formula>
    </cfRule>
  </conditionalFormatting>
  <conditionalFormatting sqref="J22:T22">
    <cfRule type="cellIs" dxfId="63" priority="30" operator="equal">
      <formula>"Check"</formula>
    </cfRule>
    <cfRule type="cellIs" dxfId="62" priority="31" operator="equal">
      <formula>"Ok"</formula>
    </cfRule>
  </conditionalFormatting>
  <conditionalFormatting sqref="J26:T26">
    <cfRule type="expression" dxfId="61" priority="15">
      <formula>J$10=J$4</formula>
    </cfRule>
  </conditionalFormatting>
  <conditionalFormatting sqref="J34:T34">
    <cfRule type="cellIs" dxfId="60" priority="26" operator="equal">
      <formula>"Check"</formula>
    </cfRule>
    <cfRule type="cellIs" dxfId="59" priority="27" operator="equal">
      <formula>"Ok"</formula>
    </cfRule>
  </conditionalFormatting>
  <conditionalFormatting sqref="J38:T38">
    <cfRule type="expression" dxfId="58" priority="14">
      <formula>J$10=J$4</formula>
    </cfRule>
  </conditionalFormatting>
  <conditionalFormatting sqref="J40:T40">
    <cfRule type="expression" dxfId="57" priority="16">
      <formula>J$38=J$4</formula>
    </cfRule>
  </conditionalFormatting>
  <conditionalFormatting sqref="J42:T42">
    <cfRule type="cellIs" dxfId="56" priority="21" operator="equal">
      <formula>"Check"</formula>
    </cfRule>
    <cfRule type="cellIs" dxfId="55" priority="22" operator="equal">
      <formula>"Ok"</formula>
    </cfRule>
  </conditionalFormatting>
  <conditionalFormatting sqref="N28:N32">
    <cfRule type="expression" dxfId="54" priority="19">
      <formula>N$10=N$4</formula>
    </cfRule>
  </conditionalFormatting>
  <conditionalFormatting sqref="O28:T30 P31:T32">
    <cfRule type="expression" dxfId="53" priority="20">
      <formula>O$10=O$4</formula>
    </cfRule>
  </conditionalFormatting>
  <conditionalFormatting sqref="S1">
    <cfRule type="cellIs" dxfId="52" priority="39" operator="equal">
      <formula>"Check"</formula>
    </cfRule>
    <cfRule type="cellIs" dxfId="51" priority="40" operator="equal">
      <formula>"Ok"</formula>
    </cfRule>
  </conditionalFormatting>
  <conditionalFormatting sqref="V1">
    <cfRule type="cellIs" dxfId="50" priority="41" operator="equal">
      <formula>"Check"</formula>
    </cfRule>
    <cfRule type="cellIs" dxfId="49" priority="42" operator="equal">
      <formula>"Ok"</formula>
    </cfRule>
  </conditionalFormatting>
  <conditionalFormatting sqref="W12:W20">
    <cfRule type="cellIs" dxfId="48" priority="11" operator="equal">
      <formula>"Check"</formula>
    </cfRule>
    <cfRule type="cellIs" dxfId="47" priority="12" operator="equal">
      <formula>"Ok"</formula>
    </cfRule>
  </conditionalFormatting>
  <conditionalFormatting sqref="W22">
    <cfRule type="cellIs" dxfId="46" priority="32" operator="equal">
      <formula>"Check"</formula>
    </cfRule>
    <cfRule type="cellIs" dxfId="45" priority="33" operator="equal">
      <formula>"Ok"</formula>
    </cfRule>
  </conditionalFormatting>
  <conditionalFormatting sqref="W28:W32">
    <cfRule type="cellIs" dxfId="44" priority="1" operator="equal">
      <formula>"Check"</formula>
    </cfRule>
    <cfRule type="cellIs" dxfId="43" priority="2" operator="equal">
      <formula>"Ok"</formula>
    </cfRule>
  </conditionalFormatting>
  <conditionalFormatting sqref="W34">
    <cfRule type="cellIs" dxfId="42" priority="28" operator="equal">
      <formula>"Check"</formula>
    </cfRule>
    <cfRule type="cellIs" dxfId="41" priority="29" operator="equal">
      <formula>"Ok"</formula>
    </cfRule>
  </conditionalFormatting>
  <conditionalFormatting sqref="W42">
    <cfRule type="cellIs" dxfId="40" priority="23" operator="equal">
      <formula>"Check"</formula>
    </cfRule>
    <cfRule type="cellIs" dxfId="39" priority="24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'Lookup|Tables'!$C$75:$C$84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abSelected="1" topLeftCell="D92" zoomScale="115" zoomScaleNormal="115" workbookViewId="0">
      <selection activeCell="K97" sqref="K97"/>
    </sheetView>
  </sheetViews>
  <sheetFormatPr defaultColWidth="0" defaultRowHeight="10.1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74</v>
      </c>
      <c r="T1" s="29"/>
      <c r="V1" s="184" t="s">
        <v>30</v>
      </c>
      <c r="W1" s="29" t="str">
        <f>'Check|List'!$S$1</f>
        <v>Ok</v>
      </c>
    </row>
    <row r="2" spans="1:31" s="31" customFormat="1" ht="13.9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218"/>
      <c r="O3" s="218"/>
      <c r="P3" s="218"/>
      <c r="Q3" s="218"/>
      <c r="R3" s="218"/>
      <c r="S3" s="218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33</v>
      </c>
      <c r="E4" s="56" t="s">
        <v>56</v>
      </c>
      <c r="F4" s="57" t="s">
        <v>62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.15">
      <c r="A8" s="32"/>
      <c r="B8" s="38" t="s">
        <v>126</v>
      </c>
      <c r="C8" s="32"/>
      <c r="D8" s="32"/>
      <c r="E8" s="51" t="s">
        <v>48</v>
      </c>
      <c r="F8" s="111">
        <f>DATE(PPLastYear,MONTH('Input|General'!$G$9),1)</f>
        <v>46174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33</v>
      </c>
      <c r="E10" s="20" t="s">
        <v>56</v>
      </c>
      <c r="F10" s="20" t="s">
        <v>62</v>
      </c>
      <c r="J10" s="99">
        <f t="shared" ref="J10:S10" si="0">IF(YEAR(J$4)&lt;=PPLastYear,J$4,"")</f>
        <v>44713</v>
      </c>
      <c r="K10" s="99">
        <f t="shared" si="0"/>
        <v>45078</v>
      </c>
      <c r="L10" s="99">
        <f t="shared" si="0"/>
        <v>45444</v>
      </c>
      <c r="M10" s="99">
        <f t="shared" si="0"/>
        <v>45809</v>
      </c>
      <c r="N10" s="99">
        <f t="shared" si="0"/>
        <v>46174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127</v>
      </c>
      <c r="D12" s="65" t="s">
        <v>128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216">
        <f>IF(YEAR(L$4)=BaseYear,'Input|Reported opex'!L47,0)</f>
        <v>32.886705720000002</v>
      </c>
      <c r="M12" s="216">
        <f>IF(YEAR(M$4)=BaseYear,'Input|Reported opex'!M47,0)</f>
        <v>0</v>
      </c>
      <c r="N12" s="21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127</v>
      </c>
      <c r="D13" s="16" t="s">
        <v>54</v>
      </c>
      <c r="E13" s="16" t="str">
        <f>$E$8</f>
        <v>$millions</v>
      </c>
      <c r="F13" s="98">
        <f>$F$8</f>
        <v>46174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21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35.410255101100027</v>
      </c>
      <c r="M13" s="21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21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129</v>
      </c>
      <c r="D14" s="65" t="s">
        <v>128</v>
      </c>
      <c r="E14" s="16" t="str">
        <f>'Input|Reported opex'!E15</f>
        <v>$millions</v>
      </c>
      <c r="F14" s="98">
        <f>'Input|Reported opex'!F15</f>
        <v>44348</v>
      </c>
      <c r="J14" s="66">
        <f>IF(YEAR(J$4)=BaseYear,'Input|Reported opex'!J15,0)</f>
        <v>0</v>
      </c>
      <c r="K14" s="66">
        <f>IF(YEAR(K$4)=BaseYear,'Input|Reported opex'!K15,0)</f>
        <v>0</v>
      </c>
      <c r="L14" s="216">
        <f>IF(YEAR(L$4)=BaseYear,'Input|Reported opex'!L15,0)</f>
        <v>33.671559002801345</v>
      </c>
      <c r="M14" s="216">
        <f>IF(YEAR(M$4)=BaseYear,'Input|Reported opex'!M15,0)</f>
        <v>0</v>
      </c>
      <c r="N14" s="21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129</v>
      </c>
      <c r="D15" s="16" t="s">
        <v>54</v>
      </c>
      <c r="E15" s="16" t="str">
        <f>$E$8</f>
        <v>$millions</v>
      </c>
      <c r="F15" s="98">
        <f>$F$8</f>
        <v>46174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21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41.573434492601066</v>
      </c>
      <c r="M15" s="21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21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130</v>
      </c>
      <c r="D16" s="65" t="s">
        <v>128</v>
      </c>
      <c r="E16" s="16" t="str">
        <f>'Input|Reported opex'!E15</f>
        <v>$millions</v>
      </c>
      <c r="F16" s="98">
        <f>'Input|Reported opex'!F15</f>
        <v>44348</v>
      </c>
      <c r="J16" s="66">
        <f>IF(YEAR(J$4)=PPLastYear,'Input|Reported opex'!J15,0)</f>
        <v>0</v>
      </c>
      <c r="K16" s="66">
        <f>IF(YEAR(K$4)=PPLastYear,'Input|Reported opex'!K15,0)</f>
        <v>0</v>
      </c>
      <c r="L16" s="216">
        <f>IF(YEAR(L$4)=PPLastYear,'Input|Reported opex'!L15,0)</f>
        <v>0</v>
      </c>
      <c r="M16" s="216">
        <f>IF(YEAR(M$4)=PPLastYear,'Input|Reported opex'!M15,0)</f>
        <v>0</v>
      </c>
      <c r="N16" s="216">
        <f>IF(YEAR(N$4)=PPLastYear,'Input|Reported opex'!N15,0)</f>
        <v>35.612880947136595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130</v>
      </c>
      <c r="D17" s="16" t="s">
        <v>54</v>
      </c>
      <c r="E17" s="16" t="str">
        <f>$E$8</f>
        <v>$millions</v>
      </c>
      <c r="F17" s="98">
        <f>$F$8</f>
        <v>46174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21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21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21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43.970336301488381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216"/>
      <c r="M18" s="216"/>
      <c r="N18" s="216"/>
      <c r="O18" s="66"/>
      <c r="P18" s="66"/>
      <c r="Q18" s="66"/>
      <c r="R18" s="66"/>
      <c r="S18" s="66"/>
      <c r="T18" s="66"/>
    </row>
    <row r="19" spans="3:20" outlineLevel="1">
      <c r="C19" s="15" t="s">
        <v>131</v>
      </c>
      <c r="D19" s="65" t="s">
        <v>128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216">
        <f>IF(YEAR(L$4)=BaseYear,'Input|Reported opex'!L57,0)</f>
        <v>13.434362</v>
      </c>
      <c r="M19" s="216">
        <f>IF(YEAR(M$4)=BaseYear,'Input|Reported opex'!M57,0)</f>
        <v>0</v>
      </c>
      <c r="N19" s="21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131</v>
      </c>
      <c r="D20" s="16" t="s">
        <v>54</v>
      </c>
      <c r="E20" s="16" t="str">
        <f>$E$8</f>
        <v>$millions</v>
      </c>
      <c r="F20" s="98">
        <f>$F$8</f>
        <v>46174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21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14.465242873238576</v>
      </c>
      <c r="M20" s="21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21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132</v>
      </c>
      <c r="D21" s="65" t="s">
        <v>128</v>
      </c>
      <c r="E21" s="16" t="str">
        <f>'Input|Reported opex'!E22</f>
        <v>$millions</v>
      </c>
      <c r="F21" s="98">
        <f>'Input|Reported opex'!F29</f>
        <v>44348</v>
      </c>
      <c r="J21" s="66">
        <f>IF(YEAR(J$4)=BaseYear,'Input|Reported opex'!J29,0)</f>
        <v>0</v>
      </c>
      <c r="K21" s="66">
        <f>IF(YEAR(K$4)=BaseYear,'Input|Reported opex'!K29,0)</f>
        <v>0</v>
      </c>
      <c r="L21" s="216">
        <f>IF(YEAR(L$4)=BaseYear,'Input|Reported opex'!L29,0)</f>
        <v>11.830543046037107</v>
      </c>
      <c r="M21" s="216">
        <f>IF(YEAR(M$4)=BaseYear,'Input|Reported opex'!M29,0)</f>
        <v>0</v>
      </c>
      <c r="N21" s="21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132</v>
      </c>
      <c r="D22" s="16" t="s">
        <v>54</v>
      </c>
      <c r="E22" s="16" t="str">
        <f>$E$8</f>
        <v>$millions</v>
      </c>
      <c r="F22" s="98">
        <f>$F$8</f>
        <v>46174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21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14.606876571868913</v>
      </c>
      <c r="M22" s="21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21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133</v>
      </c>
      <c r="D23" s="65" t="s">
        <v>128</v>
      </c>
      <c r="E23" s="16" t="str">
        <f>'Input|Reported opex'!E22</f>
        <v>$millions</v>
      </c>
      <c r="F23" s="98">
        <f>'Input|Reported opex'!F29</f>
        <v>44348</v>
      </c>
      <c r="J23" s="66">
        <f>IF(YEAR(J$4)=PPLastYear,'Input|Reported opex'!J29,0)</f>
        <v>0</v>
      </c>
      <c r="K23" s="66">
        <f>IF(YEAR(K$4)=PPLastYear,'Input|Reported opex'!K29,0)</f>
        <v>0</v>
      </c>
      <c r="L23" s="216">
        <f>IF(YEAR(L$4)=PPLastYear,'Input|Reported opex'!L29,0)</f>
        <v>0</v>
      </c>
      <c r="M23" s="216">
        <f>IF(YEAR(M$4)=PPLastYear,'Input|Reported opex'!M29,0)</f>
        <v>0</v>
      </c>
      <c r="N23" s="216">
        <f>IF(YEAR(N$4)=PPLastYear,'Input|Reported opex'!N29,0)</f>
        <v>12.438021908829246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133</v>
      </c>
      <c r="D24" s="16" t="s">
        <v>54</v>
      </c>
      <c r="E24" s="16" t="str">
        <f>$E$8</f>
        <v>$millions</v>
      </c>
      <c r="F24" s="98">
        <f>$F$8</f>
        <v>46174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21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21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21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15.356915579739848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216"/>
      <c r="M25" s="216"/>
      <c r="N25" s="216"/>
      <c r="O25" s="64"/>
      <c r="P25" s="64"/>
      <c r="Q25" s="64"/>
      <c r="R25" s="64"/>
      <c r="S25" s="64"/>
      <c r="T25" s="64"/>
    </row>
    <row r="26" spans="3:20" outlineLevel="1">
      <c r="C26" s="68" t="s">
        <v>134</v>
      </c>
      <c r="D26" s="69" t="s">
        <v>54</v>
      </c>
      <c r="E26" s="69" t="str">
        <f>$E$8</f>
        <v>$millions</v>
      </c>
      <c r="F26" s="98">
        <f>$F$8</f>
        <v>46174</v>
      </c>
      <c r="J26" s="70">
        <f ca="1">J13</f>
        <v>0</v>
      </c>
      <c r="K26" s="70">
        <f t="shared" ref="K26:S26" ca="1" si="1">K13</f>
        <v>0</v>
      </c>
      <c r="L26" s="217">
        <f t="shared" ca="1" si="1"/>
        <v>35.410255101100027</v>
      </c>
      <c r="M26" s="217">
        <f t="shared" ca="1" si="1"/>
        <v>0</v>
      </c>
      <c r="N26" s="217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217"/>
      <c r="M27" s="217"/>
      <c r="N27" s="217"/>
      <c r="O27" s="70"/>
      <c r="P27" s="70"/>
      <c r="Q27" s="70"/>
      <c r="R27" s="70"/>
      <c r="S27" s="70"/>
      <c r="T27" s="70"/>
    </row>
    <row r="28" spans="3:20" outlineLevel="1">
      <c r="C28" s="77" t="s">
        <v>135</v>
      </c>
      <c r="D28" s="65" t="s">
        <v>128</v>
      </c>
      <c r="E28" s="16" t="str">
        <f>'Input|Reported opex'!E69</f>
        <v>$millions</v>
      </c>
      <c r="F28" s="98">
        <f>'Input|Reported opex'!F69</f>
        <v>46174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217">
        <f>IF('Input|Reported opex'!L$61='Input|Reported opex'!L$10,'Input|Reported opex'!L69,0)</f>
        <v>0</v>
      </c>
      <c r="M28" s="217">
        <f>IF('Input|Reported opex'!M$61='Input|Reported opex'!M$10,'Input|Reported opex'!M69,0)</f>
        <v>0</v>
      </c>
      <c r="N28" s="217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54</v>
      </c>
      <c r="E29" s="16" t="str">
        <f>$E$8</f>
        <v>$millions</v>
      </c>
      <c r="F29" s="98">
        <f>$F$8</f>
        <v>46174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217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217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217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217"/>
      <c r="M30" s="217"/>
      <c r="N30" s="217"/>
      <c r="O30" s="70"/>
      <c r="P30" s="70"/>
      <c r="Q30" s="70"/>
      <c r="R30" s="70"/>
      <c r="S30" s="70"/>
      <c r="T30" s="70"/>
    </row>
    <row r="31" spans="3:20" outlineLevel="1">
      <c r="C31" s="77" t="s">
        <v>136</v>
      </c>
      <c r="D31" s="16" t="s">
        <v>54</v>
      </c>
      <c r="E31" s="16" t="str">
        <f>$E$8</f>
        <v>$millions</v>
      </c>
      <c r="F31" s="98">
        <f>$F$8</f>
        <v>46174</v>
      </c>
      <c r="J31" s="70">
        <f t="shared" ref="J31:S31" si="2">IF(YEAR(J$4)=PPLastYear,-SUM($J15:$S15)+SUM($J17:$S17),0)</f>
        <v>0</v>
      </c>
      <c r="K31" s="70">
        <f t="shared" si="2"/>
        <v>0</v>
      </c>
      <c r="L31" s="217">
        <f t="shared" si="2"/>
        <v>0</v>
      </c>
      <c r="M31" s="217">
        <f t="shared" si="2"/>
        <v>0</v>
      </c>
      <c r="N31" s="217">
        <f>IF(YEAR(N$4)=PPLastYear,-SUM($J15:$S15)+SUM($J17:$S17),0)</f>
        <v>2.3969018088873142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217"/>
      <c r="M32" s="217"/>
      <c r="N32" s="217"/>
      <c r="O32" s="70"/>
      <c r="P32" s="70"/>
      <c r="Q32" s="70"/>
      <c r="R32" s="70"/>
      <c r="S32" s="70"/>
      <c r="T32" s="70"/>
    </row>
    <row r="33" spans="3:20" outlineLevel="1">
      <c r="C33" s="77" t="s">
        <v>137</v>
      </c>
      <c r="D33" s="16" t="s">
        <v>54</v>
      </c>
      <c r="E33" s="16" t="str">
        <f>$E$8</f>
        <v>$millions</v>
      </c>
      <c r="F33" s="98">
        <f>$F$8</f>
        <v>46174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217">
        <f t="shared" si="3"/>
        <v>0</v>
      </c>
      <c r="M33" s="217">
        <f t="shared" si="3"/>
        <v>0</v>
      </c>
      <c r="N33" s="217">
        <f ca="1">IF(YEAR(N$4)=PPLastYear,SUM($J26:$S26,$J29:$S29,$J31:$S31),0)</f>
        <v>37.807156909987341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217"/>
      <c r="M34" s="217"/>
      <c r="N34" s="217"/>
      <c r="O34" s="70"/>
      <c r="P34" s="70"/>
      <c r="Q34" s="70"/>
      <c r="R34" s="70"/>
      <c r="S34" s="70"/>
      <c r="T34" s="70"/>
    </row>
    <row r="35" spans="3:20" outlineLevel="1">
      <c r="C35" s="77" t="s">
        <v>138</v>
      </c>
      <c r="D35" s="16" t="s">
        <v>54</v>
      </c>
      <c r="E35" s="16" t="str">
        <f>$E$8</f>
        <v>$millions</v>
      </c>
      <c r="F35" s="98">
        <f>$F$8</f>
        <v>46174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217">
        <f t="shared" si="4"/>
        <v>0</v>
      </c>
      <c r="M35" s="217">
        <f t="shared" si="4"/>
        <v>0</v>
      </c>
      <c r="N35" s="217">
        <f>IF(YEAR(N$4)=PPLastYear,-(SUM($J20:$S20)-SUM($J22:$S22)+SUM($J24:$S24)),0)</f>
        <v>-15.215281881109512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>
        <f>'Input|Reported opex'!$C$63</f>
        <v>0</v>
      </c>
      <c r="D37" s="65" t="s">
        <v>128</v>
      </c>
      <c r="E37" s="16" t="str">
        <f>'Input|Reported opex'!E63</f>
        <v>$millions</v>
      </c>
      <c r="F37" s="98">
        <f>'Input|Reported opex'!F63</f>
        <v>46174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0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>
        <f>C37</f>
        <v>0</v>
      </c>
      <c r="D38" s="16" t="s">
        <v>54</v>
      </c>
      <c r="E38" s="16" t="str">
        <f>$E$8</f>
        <v>$millions</v>
      </c>
      <c r="F38" s="98">
        <f>$F$8</f>
        <v>46174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>
        <f>'Input|Reported opex'!$C$64</f>
        <v>0</v>
      </c>
      <c r="D40" s="65" t="s">
        <v>128</v>
      </c>
      <c r="E40" s="16" t="str">
        <f>'Input|Reported opex'!$E$64</f>
        <v>$millions</v>
      </c>
      <c r="F40" s="98">
        <f>'Input|Reported opex'!$F$64</f>
        <v>46174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>
        <f>C40</f>
        <v>0</v>
      </c>
      <c r="D41" s="16" t="s">
        <v>54</v>
      </c>
      <c r="E41" s="16" t="str">
        <f>$E$8</f>
        <v>$millions</v>
      </c>
      <c r="F41" s="98">
        <f>$F$8</f>
        <v>46174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128</v>
      </c>
      <c r="E43" s="16" t="str">
        <f>'Input|Reported opex'!$E$65</f>
        <v>$millions</v>
      </c>
      <c r="F43" s="98">
        <f>'Input|Reported opex'!$F$65</f>
        <v>46174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54</v>
      </c>
      <c r="E44" s="16" t="str">
        <f>$E$8</f>
        <v>$millions</v>
      </c>
      <c r="F44" s="98">
        <f>$F$8</f>
        <v>46174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128</v>
      </c>
      <c r="E46" s="16" t="str">
        <f>'Input|Reported opex'!$E$66</f>
        <v>$millions</v>
      </c>
      <c r="F46" s="98">
        <f>'Input|Reported opex'!$F$66</f>
        <v>46174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54</v>
      </c>
      <c r="E47" s="16" t="str">
        <f>$E$8</f>
        <v>$millions</v>
      </c>
      <c r="F47" s="98">
        <f>$F$8</f>
        <v>46174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128</v>
      </c>
      <c r="E49" s="16" t="str">
        <f>'Input|Reported opex'!$E$67</f>
        <v>$millions</v>
      </c>
      <c r="F49" s="98">
        <f>'Input|Reported opex'!$F$67</f>
        <v>46174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54</v>
      </c>
      <c r="E50" s="16" t="str">
        <f>$E$8</f>
        <v>$millions</v>
      </c>
      <c r="F50" s="98">
        <f>$F$8</f>
        <v>46174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117</v>
      </c>
      <c r="D52" s="16" t="s">
        <v>64</v>
      </c>
      <c r="E52" s="16" t="str">
        <f>$E$8</f>
        <v>$millions</v>
      </c>
      <c r="F52" s="98">
        <f>$F$8</f>
        <v>46174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139</v>
      </c>
      <c r="D54" s="67" t="s">
        <v>64</v>
      </c>
      <c r="E54" s="67" t="str">
        <f>$E$8</f>
        <v>$millions</v>
      </c>
      <c r="F54" s="103">
        <f>$F$8</f>
        <v>46174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ca="1">SUM(N33,N35,N38,N41,N44,N47,N50,N52)</f>
        <v>22.59187502887783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  <c r="N55" s="215"/>
    </row>
    <row r="56" spans="1:31" customFormat="1" ht="13.15">
      <c r="A56" s="32"/>
      <c r="B56" s="38" t="s">
        <v>140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141</v>
      </c>
      <c r="D58" s="20" t="s">
        <v>33</v>
      </c>
      <c r="E58" s="20" t="s">
        <v>56</v>
      </c>
      <c r="F58" s="20" t="s">
        <v>62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46539</v>
      </c>
      <c r="P58" s="99">
        <f>IF(YEAR(P$4)&gt;='Input|General'!$G$13,IF(YEAR(P$4)&lt;='Input|General'!$G$14,P$4,""),"")</f>
        <v>46905</v>
      </c>
      <c r="Q58" s="99">
        <f>IF(YEAR(Q$4)&gt;='Input|General'!$G$13,IF(YEAR(Q$4)&lt;='Input|General'!$G$14,Q$4,""),"")</f>
        <v>47270</v>
      </c>
      <c r="R58" s="99">
        <f>IF(YEAR(R$4)&gt;='Input|General'!$G$13,IF(YEAR(R$4)&lt;='Input|General'!$G$14,R$4,""),"")</f>
        <v>47635</v>
      </c>
      <c r="S58" s="99">
        <f>IF(YEAR(S$4)&gt;='Input|General'!$G$13,IF(YEAR(S$4)&lt;='Input|General'!$G$14,S$4,""),"")</f>
        <v>48000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142</v>
      </c>
      <c r="D61" s="16" t="s">
        <v>54</v>
      </c>
      <c r="E61" s="16" t="s">
        <v>118</v>
      </c>
      <c r="F61" s="16" t="s">
        <v>74</v>
      </c>
      <c r="J61" s="72">
        <f ca="1">IF(J58=J4,AVERAGE(OFFSET('Input|Rate of change'!K96,0,0,COUNTA('Input|Rate of change'!$J$85:$M$85),1)),0)</f>
        <v>0</v>
      </c>
      <c r="K61" s="72">
        <f ca="1">IF(K58=K4,AVERAGE(OFFSET('Input|Rate of change'!L96,0,0,COUNTA('Input|Rate of change'!$J$85:$M$85),1)),0)</f>
        <v>0</v>
      </c>
      <c r="L61" s="72">
        <f ca="1">IF(L58=L4,AVERAGE(OFFSET('Input|Rate of change'!M96,0,0,COUNTA('Input|Rate of change'!$J$85:$M$85),1)),0)</f>
        <v>0</v>
      </c>
      <c r="M61" s="72">
        <f ca="1">IF(M58=M4,AVERAGE(OFFSET('Input|Rate of change'!N96,0,0,COUNTA('Input|Rate of change'!$J$85:$M$85),1)),0)</f>
        <v>0</v>
      </c>
      <c r="N61" s="72">
        <f ca="1">IF(N58=N4,AVERAGE(OFFSET('Input|Rate of change'!O96,0,0,COUNTA('Input|Rate of change'!$J$85:$M$85),1)),0)</f>
        <v>0</v>
      </c>
      <c r="O61" s="72">
        <f ca="1">IF(O58=O4,AVERAGE(OFFSET('Input|Rate of change'!P96,0,0,COUNTA('Input|Rate of change'!$J$85:$M$85),1)),0)</f>
        <v>-3.3738113987574537E-3</v>
      </c>
      <c r="P61" s="72">
        <f ca="1">IF(P58=P4,AVERAGE(OFFSET('Input|Rate of change'!Q96,0,0,COUNTA('Input|Rate of change'!$J$85:$M$85),1)),0)</f>
        <v>-5.9561630043765143E-3</v>
      </c>
      <c r="Q61" s="72">
        <f ca="1">IF(Q58=Q4,AVERAGE(OFFSET('Input|Rate of change'!R96,0,0,COUNTA('Input|Rate of change'!$J$85:$M$85),1)),0)</f>
        <v>-7.0149935812258597E-3</v>
      </c>
      <c r="R61" s="72">
        <f ca="1">IF(R58=R4,AVERAGE(OFFSET('Input|Rate of change'!S96,0,0,COUNTA('Input|Rate of change'!$J$85:$M$85),1)),0)</f>
        <v>-7.8208541178749879E-3</v>
      </c>
      <c r="S61" s="72">
        <f ca="1">IF(S58=S4,AVERAGE(OFFSET('Input|Rate of change'!T96,0,0,COUNTA('Input|Rate of change'!$J$85:$M$85),1)),0)</f>
        <v>-8.2858271519199896E-3</v>
      </c>
      <c r="T61" s="72">
        <f ca="1">IF(T58=T4,AVERAGE(OFFSET('Input|Rate of change'!U96,0,0,COUNTA('Input|Rate of change'!$J$85:$M$85),1)),0)</f>
        <v>0</v>
      </c>
      <c r="U61" s="214"/>
    </row>
    <row r="62" spans="1:31" outlineLevel="1">
      <c r="C62" s="15" t="s">
        <v>143</v>
      </c>
      <c r="D62" s="16" t="s">
        <v>54</v>
      </c>
      <c r="E62" s="16" t="s">
        <v>118</v>
      </c>
      <c r="F62" s="16" t="s">
        <v>74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-3.3738113987574758E-3</v>
      </c>
      <c r="P62" s="72">
        <f t="array" aca="1" ref="P62" ca="1">IF(P$58=P$4,PRODUCT(1+$J61:P61)-1,0)</f>
        <v>-9.309879432496948E-3</v>
      </c>
      <c r="Q62" s="72">
        <f t="array" aca="1" ref="Q62" ca="1">IF(Q$58=Q$4,PRODUCT(1+$J61:Q61)-1,0)</f>
        <v>-1.6259564269261784E-2</v>
      </c>
      <c r="R62" s="72">
        <f t="array" aca="1" ref="R62" ca="1">IF(R$58=R$4,PRODUCT(1+$J61:R61)-1,0)</f>
        <v>-2.3953254706966742E-2</v>
      </c>
      <c r="S62" s="72">
        <f t="array" aca="1" ref="S62" ca="1">IF(S$58=S$4,PRODUCT(1+$J61:S61)-1,0)</f>
        <v>-3.2040609330658887E-2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144</v>
      </c>
      <c r="D64" s="16" t="s">
        <v>54</v>
      </c>
      <c r="E64" s="16" t="s">
        <v>118</v>
      </c>
      <c r="F64" s="16" t="s">
        <v>74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5.9009674843484702E-3</v>
      </c>
      <c r="P64" s="72">
        <f>SUMPRODUCT('Input|Rate of change'!Q38:Q45,'Input|Rate of change'!Q51:Q58)</f>
        <v>5.7667189584247082E-3</v>
      </c>
      <c r="Q64" s="72">
        <f>SUMPRODUCT('Input|Rate of change'!R38:R45,'Input|Rate of change'!R51:R58)</f>
        <v>6.6931762405952602E-3</v>
      </c>
      <c r="R64" s="72">
        <f>SUMPRODUCT('Input|Rate of change'!S38:S45,'Input|Rate of change'!S51:S58)</f>
        <v>7.4321545607541617E-3</v>
      </c>
      <c r="S64" s="72">
        <f>SUMPRODUCT('Input|Rate of change'!T38:T45,'Input|Rate of change'!T51:T58)</f>
        <v>7.9934826581841336E-3</v>
      </c>
      <c r="T64" s="72">
        <f>SUMPRODUCT('Input|Rate of change'!U38:U45,'Input|Rate of change'!U51:U58)</f>
        <v>0</v>
      </c>
    </row>
    <row r="65" spans="1:31" outlineLevel="1">
      <c r="C65" s="15" t="s">
        <v>145</v>
      </c>
      <c r="D65" s="16" t="s">
        <v>54</v>
      </c>
      <c r="E65" s="16" t="s">
        <v>118</v>
      </c>
      <c r="F65" s="16" t="s">
        <v>74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5.9009674843484294E-3</v>
      </c>
      <c r="P65" s="72">
        <f t="array" ref="P65">IF(P$58=P$4,PRODUCT(1+$J64:P64)-1,0)</f>
        <v>1.1701715663838153E-2</v>
      </c>
      <c r="Q65" s="72">
        <f t="array" ref="Q65">IF(Q$58=Q$4,PRODUCT(1+$J64:Q64)-1,0)</f>
        <v>1.8473213549688783E-2</v>
      </c>
      <c r="R65" s="72">
        <f t="array" ref="R65">IF(R$58=R$4,PRODUCT(1+$J64:R64)-1,0)</f>
        <v>2.6042663888778073E-2</v>
      </c>
      <c r="S65" s="72">
        <f t="array" ref="S65">IF(S$58=S$4,PRODUCT(1+$J64:S64)-1,0)</f>
        <v>3.4244318129130091E-2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146</v>
      </c>
      <c r="D67" s="16" t="s">
        <v>54</v>
      </c>
      <c r="E67" s="16" t="s">
        <v>118</v>
      </c>
      <c r="F67" s="16" t="s">
        <v>74</v>
      </c>
      <c r="J67" s="72">
        <f>'Input|Rate of change'!K105</f>
        <v>0</v>
      </c>
      <c r="K67" s="72">
        <f>'Input|Rate of change'!L105</f>
        <v>0</v>
      </c>
      <c r="L67" s="72">
        <f>'Input|Rate of change'!M105</f>
        <v>0</v>
      </c>
      <c r="M67" s="72">
        <f>'Input|Rate of change'!N105</f>
        <v>0</v>
      </c>
      <c r="N67" s="72">
        <f>'Input|Rate of change'!O105</f>
        <v>0</v>
      </c>
      <c r="O67" s="72">
        <f>'Input|Rate of change'!P105</f>
        <v>0</v>
      </c>
      <c r="P67" s="72">
        <f>'Input|Rate of change'!Q105</f>
        <v>0</v>
      </c>
      <c r="Q67" s="72">
        <f>'Input|Rate of change'!R105</f>
        <v>0</v>
      </c>
      <c r="R67" s="72">
        <f>'Input|Rate of change'!S105</f>
        <v>0</v>
      </c>
      <c r="S67" s="72">
        <f>'Input|Rate of change'!T105</f>
        <v>0</v>
      </c>
      <c r="T67" s="72">
        <f>'Input|Rate of change'!U105</f>
        <v>0</v>
      </c>
    </row>
    <row r="68" spans="1:31" outlineLevel="1">
      <c r="C68" s="15" t="s">
        <v>147</v>
      </c>
      <c r="D68" s="16" t="s">
        <v>54</v>
      </c>
      <c r="E68" s="16" t="s">
        <v>118</v>
      </c>
      <c r="F68" s="16" t="s">
        <v>74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0</v>
      </c>
      <c r="P68" s="72">
        <f t="array" ref="P68">IF(P$58=P$4,PRODUCT(1+$J67:P67)-1,0)</f>
        <v>0</v>
      </c>
      <c r="Q68" s="72">
        <f t="array" ref="Q68">IF(Q$58=Q$4,PRODUCT(1+$J67:Q67)-1,0)</f>
        <v>0</v>
      </c>
      <c r="R68" s="72">
        <f t="array" ref="R68">IF(R$58=R$4,PRODUCT(1+$J67:R67)-1,0)</f>
        <v>0</v>
      </c>
      <c r="S68" s="72">
        <f t="array" ref="S68">IF(S$58=S$4,PRODUCT(1+$J67:S67)-1,0)</f>
        <v>0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148</v>
      </c>
      <c r="D70" s="69" t="s">
        <v>54</v>
      </c>
      <c r="E70" s="69" t="s">
        <v>118</v>
      </c>
      <c r="F70" s="69" t="s">
        <v>74</v>
      </c>
      <c r="J70" s="88">
        <f ca="1">(1+J61)*(1+J64)*(1-J67)-1</f>
        <v>0</v>
      </c>
      <c r="K70" s="88">
        <f t="shared" ref="K70:N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ca="1">(1+O61)*(1+O64)*(1-O67)-1</f>
        <v>2.5072473342284685E-3</v>
      </c>
      <c r="P70" s="88">
        <f t="shared" ref="P70:S70" ca="1" si="7">(1+P61)*(1+P64)*(1-P67)-1</f>
        <v>-2.2379156406859835E-4</v>
      </c>
      <c r="Q70" s="88">
        <f t="shared" ca="1" si="7"/>
        <v>-3.6876992899625982E-4</v>
      </c>
      <c r="R70" s="88">
        <f t="shared" ca="1" si="7"/>
        <v>-4.468253537220912E-4</v>
      </c>
      <c r="S70" s="88">
        <f t="shared" ca="1" si="7"/>
        <v>-3.5857710938325127E-4</v>
      </c>
      <c r="T70" s="88">
        <f t="shared" ref="T70" ca="1" si="8">(1+T61)*(1+T64)*(1-T67)-1</f>
        <v>0</v>
      </c>
    </row>
    <row r="71" spans="1:31" outlineLevel="1">
      <c r="C71" s="9" t="s">
        <v>149</v>
      </c>
      <c r="D71" s="16" t="s">
        <v>54</v>
      </c>
      <c r="E71" s="16" t="s">
        <v>118</v>
      </c>
      <c r="F71" s="16" t="s">
        <v>74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 cm="1">
        <f t="array" aca="1" ref="O71" ca="1">IF(O$58=O$4,PRODUCT(1+$J70:O70)-1,"")</f>
        <v>2.5072473342284685E-3</v>
      </c>
      <c r="P71" s="72">
        <f t="array" aca="1" ref="P71" ca="1">IF(P$58=P$4,PRODUCT(1+$J70:P70)-1,"")</f>
        <v>2.2828946693573826E-3</v>
      </c>
      <c r="Q71" s="72">
        <f t="array" aca="1" ref="Q71" ca="1">IF(Q$58=Q$4,PRODUCT(1+$J70:Q70)-1,"")</f>
        <v>1.9132828774559574E-3</v>
      </c>
      <c r="R71" s="72">
        <f t="array" aca="1" ref="R71" ca="1">IF(R$58=R$4,PRODUCT(1+$J70:R70)-1,"")</f>
        <v>1.46560262043538E-3</v>
      </c>
      <c r="S71" s="72">
        <f t="array" aca="1" ref="S71" ca="1">IF(S$58=S$4,PRODUCT(1+$J70:S70)-1,"")</f>
        <v>1.1064999795009633E-3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.15">
      <c r="A73" s="32"/>
      <c r="B73" s="38" t="s">
        <v>150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151</v>
      </c>
      <c r="D75" s="20" t="s">
        <v>33</v>
      </c>
      <c r="E75" s="20" t="s">
        <v>56</v>
      </c>
      <c r="F75" s="20" t="s">
        <v>62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46539</v>
      </c>
      <c r="P75" s="99">
        <f>IF(YEAR(P$4)&gt;='Input|General'!$G$13,IF(YEAR(P$4)&lt;='Input|General'!$G$14,P$4,""),"")</f>
        <v>46905</v>
      </c>
      <c r="Q75" s="99">
        <f>IF(YEAR(Q$4)&gt;='Input|General'!$G$13,IF(YEAR(Q$4)&lt;='Input|General'!$G$14,Q$4,""),"")</f>
        <v>47270</v>
      </c>
      <c r="R75" s="99">
        <f>IF(YEAR(R$4)&gt;='Input|General'!$G$13,IF(YEAR(R$4)&lt;='Input|General'!$G$14,R$4,""),"")</f>
        <v>47635</v>
      </c>
      <c r="S75" s="99">
        <f>IF(YEAR(S$4)&gt;='Input|General'!$G$13,IF(YEAR(S$4)&lt;='Input|General'!$G$14,S$4,""),"")</f>
        <v>48000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>
        <f>'Input|Step changes'!C12</f>
        <v>0</v>
      </c>
      <c r="D77" s="16" t="s">
        <v>54</v>
      </c>
      <c r="E77" s="16" t="str">
        <f t="shared" ref="E77:E97" si="9">$E$8</f>
        <v>$millions</v>
      </c>
      <c r="F77" s="98">
        <f t="shared" ref="F77:F87" si="10">$F$8</f>
        <v>46174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54</v>
      </c>
      <c r="E78" s="16" t="str">
        <f t="shared" si="9"/>
        <v>$millions</v>
      </c>
      <c r="F78" s="98">
        <f t="shared" si="10"/>
        <v>46174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54</v>
      </c>
      <c r="E79" s="16" t="str">
        <f t="shared" si="9"/>
        <v>$millions</v>
      </c>
      <c r="F79" s="98">
        <f t="shared" si="10"/>
        <v>46174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54</v>
      </c>
      <c r="E80" s="16" t="str">
        <f t="shared" si="9"/>
        <v>$millions</v>
      </c>
      <c r="F80" s="98">
        <f t="shared" si="10"/>
        <v>46174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54</v>
      </c>
      <c r="E81" s="16" t="str">
        <f t="shared" si="9"/>
        <v>$millions</v>
      </c>
      <c r="F81" s="98">
        <f t="shared" si="10"/>
        <v>46174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54</v>
      </c>
      <c r="E82" s="16" t="str">
        <f t="shared" si="9"/>
        <v>$millions</v>
      </c>
      <c r="F82" s="98">
        <f t="shared" si="10"/>
        <v>46174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54</v>
      </c>
      <c r="E83" s="16" t="str">
        <f t="shared" si="9"/>
        <v>$millions</v>
      </c>
      <c r="F83" s="98">
        <f t="shared" si="10"/>
        <v>46174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54</v>
      </c>
      <c r="E84" s="16" t="str">
        <f t="shared" si="9"/>
        <v>$millions</v>
      </c>
      <c r="F84" s="98">
        <f t="shared" si="10"/>
        <v>46174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54</v>
      </c>
      <c r="E85" s="16" t="str">
        <f t="shared" si="9"/>
        <v>$millions</v>
      </c>
      <c r="F85" s="98">
        <f t="shared" si="10"/>
        <v>46174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152</v>
      </c>
      <c r="D87" s="76" t="s">
        <v>54</v>
      </c>
      <c r="E87" s="76" t="str">
        <f>$E$8</f>
        <v>$millions</v>
      </c>
      <c r="F87" s="101">
        <f t="shared" si="10"/>
        <v>46174</v>
      </c>
      <c r="G87" s="20"/>
      <c r="H87" s="20"/>
      <c r="I87" s="20"/>
      <c r="J87" s="80">
        <f>SUM(J76:J86)</f>
        <v>0</v>
      </c>
      <c r="K87" s="80">
        <f t="shared" ref="K87:S87" si="11">SUM(K76:K86)</f>
        <v>0</v>
      </c>
      <c r="L87" s="80">
        <f t="shared" si="11"/>
        <v>0</v>
      </c>
      <c r="M87" s="80">
        <f t="shared" si="11"/>
        <v>0</v>
      </c>
      <c r="N87" s="80">
        <f t="shared" si="11"/>
        <v>0</v>
      </c>
      <c r="O87" s="80">
        <f t="shared" si="11"/>
        <v>0</v>
      </c>
      <c r="P87" s="80">
        <f t="shared" si="11"/>
        <v>0</v>
      </c>
      <c r="Q87" s="80">
        <f t="shared" si="11"/>
        <v>0</v>
      </c>
      <c r="R87" s="80">
        <f t="shared" si="11"/>
        <v>0</v>
      </c>
      <c r="S87" s="80">
        <f t="shared" si="11"/>
        <v>0</v>
      </c>
      <c r="T87" s="80">
        <f t="shared" ref="T87" si="12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.15">
      <c r="A89" s="32"/>
      <c r="B89" s="38" t="s">
        <v>153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122</v>
      </c>
      <c r="D91" s="20" t="s">
        <v>33</v>
      </c>
      <c r="E91" s="20" t="s">
        <v>56</v>
      </c>
      <c r="F91" s="20" t="s">
        <v>62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46539</v>
      </c>
      <c r="P91" s="99">
        <f>IF(YEAR(P$4)&gt;='Input|General'!$G$13,IF(YEAR(P$4)&lt;='Input|General'!$G$14,P$4,""),"")</f>
        <v>46905</v>
      </c>
      <c r="Q91" s="99">
        <f>IF(YEAR(Q$4)&gt;='Input|General'!$G$13,IF(YEAR(Q$4)&lt;='Input|General'!$G$14,Q$4,""),"")</f>
        <v>47270</v>
      </c>
      <c r="R91" s="99">
        <f>IF(YEAR(R$4)&gt;='Input|General'!$G$13,IF(YEAR(R$4)&lt;='Input|General'!$G$14,R$4,""),"")</f>
        <v>47635</v>
      </c>
      <c r="S91" s="99">
        <f>IF(YEAR(S$4)&gt;='Input|General'!$G$13,IF(YEAR(S$4)&lt;='Input|General'!$G$14,S$4,""),"")</f>
        <v>48000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UAG</v>
      </c>
      <c r="D93" s="16" t="s">
        <v>54</v>
      </c>
      <c r="E93" s="16" t="str">
        <f t="shared" si="9"/>
        <v>$millions</v>
      </c>
      <c r="F93" s="98">
        <f t="shared" ref="F93:F97" si="13">$F$8</f>
        <v>46174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2.3456415862844704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2.0292000601893219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1.8862468578174103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1.6705624784180768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1.4902728063187181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54</v>
      </c>
      <c r="E94" s="16" t="str">
        <f t="shared" si="9"/>
        <v>$millions</v>
      </c>
      <c r="F94" s="98">
        <f t="shared" si="13"/>
        <v>46174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54</v>
      </c>
      <c r="E95" s="16" t="str">
        <f t="shared" si="9"/>
        <v>$millions</v>
      </c>
      <c r="F95" s="98">
        <f t="shared" si="13"/>
        <v>46174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54</v>
      </c>
      <c r="E96" s="16" t="str">
        <f t="shared" si="9"/>
        <v>$millions</v>
      </c>
      <c r="F96" s="98">
        <f t="shared" si="13"/>
        <v>46174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54</v>
      </c>
      <c r="E97" s="16" t="str">
        <f t="shared" si="9"/>
        <v>$millions</v>
      </c>
      <c r="F97" s="98">
        <f t="shared" si="13"/>
        <v>46174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154</v>
      </c>
      <c r="D99" s="76" t="s">
        <v>54</v>
      </c>
      <c r="E99" s="76" t="str">
        <f>$E$8</f>
        <v>$millions</v>
      </c>
      <c r="F99" s="101">
        <f t="shared" ref="F99" si="14">$F$8</f>
        <v>46174</v>
      </c>
      <c r="G99" s="20"/>
      <c r="H99" s="20"/>
      <c r="I99" s="20"/>
      <c r="J99" s="80">
        <f t="shared" ref="J99:T99" si="15">SUM(J92:J97)</f>
        <v>0</v>
      </c>
      <c r="K99" s="80">
        <f t="shared" si="15"/>
        <v>0</v>
      </c>
      <c r="L99" s="80">
        <f t="shared" si="15"/>
        <v>0</v>
      </c>
      <c r="M99" s="80">
        <f t="shared" si="15"/>
        <v>0</v>
      </c>
      <c r="N99" s="80">
        <f t="shared" si="15"/>
        <v>0</v>
      </c>
      <c r="O99" s="80">
        <f t="shared" si="15"/>
        <v>2.3456415862844704</v>
      </c>
      <c r="P99" s="80">
        <f t="shared" si="15"/>
        <v>2.0292000601893219</v>
      </c>
      <c r="Q99" s="80">
        <f t="shared" si="15"/>
        <v>1.8862468578174103</v>
      </c>
      <c r="R99" s="80">
        <f t="shared" si="15"/>
        <v>1.6705624784180768</v>
      </c>
      <c r="S99" s="80">
        <f t="shared" si="15"/>
        <v>1.4902728063187181</v>
      </c>
      <c r="T99" s="80">
        <f t="shared" si="15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.15">
      <c r="A101" s="32"/>
      <c r="B101" s="38" t="s">
        <v>155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46539</v>
      </c>
      <c r="P103" s="99">
        <f>IF(YEAR(P$4)&gt;='Input|General'!$G$13,IF(YEAR(P$4)&lt;='Input|General'!$G$14,P$4,""),"")</f>
        <v>46905</v>
      </c>
      <c r="Q103" s="99">
        <f>IF(YEAR(Q$4)&gt;='Input|General'!$G$13,IF(YEAR(Q$4)&lt;='Input|General'!$G$14,Q$4,""),"")</f>
        <v>47270</v>
      </c>
      <c r="R103" s="99">
        <f>IF(YEAR(R$4)&gt;='Input|General'!$G$13,IF(YEAR(R$4)&lt;='Input|General'!$G$14,R$4,""),"")</f>
        <v>47635</v>
      </c>
      <c r="S103" s="99">
        <f>IF(YEAR(S$4)&gt;='Input|General'!$G$13,IF(YEAR(S$4)&lt;='Input|General'!$G$14,S$4,""),"")</f>
        <v>48000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156</v>
      </c>
      <c r="D105" s="20" t="s">
        <v>54</v>
      </c>
      <c r="E105" s="20" t="str">
        <f>$E$8</f>
        <v>$millions</v>
      </c>
      <c r="F105" s="101">
        <f t="shared" ref="F105:F107" si="16">$F$8</f>
        <v>46174</v>
      </c>
      <c r="J105" s="90" t="str">
        <f t="shared" ref="J105:T105" si="17">IF(YEAR(J$4)&gt;=FPFirstYear,IF(YEAR(J$4)&lt;=FPLastYear,IF(ISBLANK(J103),"",(1+J71)*SUM($J54:$S54)+J87),""),"")</f>
        <v/>
      </c>
      <c r="K105" s="90" t="str">
        <f t="shared" si="17"/>
        <v/>
      </c>
      <c r="L105" s="90" t="str">
        <f t="shared" si="17"/>
        <v/>
      </c>
      <c r="M105" s="90" t="str">
        <f t="shared" si="17"/>
        <v/>
      </c>
      <c r="N105" s="90" t="str">
        <f t="shared" si="17"/>
        <v/>
      </c>
      <c r="O105" s="90">
        <f ca="1">IF(YEAR(O$4)&gt;=FPFirstYear,IF(YEAR(O$4)&lt;=FPLastYear,IF(ISBLANK(O103),"",(1+O71)*SUM($J54:$S54)+O87),""),"")</f>
        <v>22.648518447319205</v>
      </c>
      <c r="P105" s="90">
        <f t="shared" ca="1" si="17"/>
        <v>22.643449899952042</v>
      </c>
      <c r="Q105" s="90">
        <f t="shared" ca="1" si="17"/>
        <v>22.635099676540207</v>
      </c>
      <c r="R105" s="90">
        <f t="shared" ca="1" si="17"/>
        <v>22.624985740120703</v>
      </c>
      <c r="S105" s="90">
        <f t="shared" ca="1" si="17"/>
        <v>22.616872938134172</v>
      </c>
      <c r="T105" s="90" t="str">
        <f t="shared" si="17"/>
        <v/>
      </c>
    </row>
    <row r="106" spans="1:39" outlineLevel="1">
      <c r="C106" s="77" t="s">
        <v>157</v>
      </c>
      <c r="D106" s="20" t="s">
        <v>54</v>
      </c>
      <c r="E106" s="20" t="str">
        <f>$E$8</f>
        <v>$millions</v>
      </c>
      <c r="F106" s="101">
        <f t="shared" si="16"/>
        <v>46174</v>
      </c>
      <c r="J106" s="90" t="str">
        <f t="shared" ref="J106:T106" si="18">IF(YEAR(J$4)&gt;=FPFirstYear,IF(YEAR(J$4)&lt;=FPLastYear,IF(ISBLANK(J103),"",(1+J71)*SUM($J54:$S54)+J87+J99),""),"")</f>
        <v/>
      </c>
      <c r="K106" s="90" t="str">
        <f t="shared" si="18"/>
        <v/>
      </c>
      <c r="L106" s="90" t="str">
        <f t="shared" si="18"/>
        <v/>
      </c>
      <c r="M106" s="90" t="str">
        <f t="shared" si="18"/>
        <v/>
      </c>
      <c r="N106" s="90" t="str">
        <f t="shared" si="18"/>
        <v/>
      </c>
      <c r="O106" s="90">
        <f t="shared" ca="1" si="18"/>
        <v>24.994160033603677</v>
      </c>
      <c r="P106" s="90">
        <f t="shared" ca="1" si="18"/>
        <v>24.672649960141364</v>
      </c>
      <c r="Q106" s="90">
        <f t="shared" ca="1" si="18"/>
        <v>24.521346534357619</v>
      </c>
      <c r="R106" s="90">
        <f t="shared" ca="1" si="18"/>
        <v>24.29554821853878</v>
      </c>
      <c r="S106" s="90">
        <f t="shared" ca="1" si="18"/>
        <v>24.10714574445289</v>
      </c>
      <c r="T106" s="90" t="str">
        <f t="shared" si="18"/>
        <v/>
      </c>
    </row>
    <row r="107" spans="1:39" outlineLevel="1">
      <c r="C107" s="77" t="s">
        <v>158</v>
      </c>
      <c r="D107" s="20" t="s">
        <v>54</v>
      </c>
      <c r="E107" s="20" t="str">
        <f>$E$8</f>
        <v>$millions</v>
      </c>
      <c r="F107" s="101">
        <f t="shared" si="16"/>
        <v>46174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25.194485318820433</v>
      </c>
      <c r="P107" s="90">
        <f ca="1">IF(YEAR(P$4)&gt;=FPFirstYear,IF(YEAR(P$4)&lt;=FPLastYear,P106+'Input|Step changes'!P40,""),"")</f>
        <v>24.856591183938455</v>
      </c>
      <c r="Q107" s="90">
        <f ca="1">IF(YEAR(Q$4)&gt;=FPFirstYear,IF(YEAR(Q$4)&lt;=FPLastYear,Q106+'Input|Step changes'!Q40,""),"")</f>
        <v>24.688042844963856</v>
      </c>
      <c r="R107" s="90">
        <f ca="1">IF(YEAR(R$4)&gt;=FPFirstYear,IF(YEAR(R$4)&lt;=FPLastYear,R106+'Input|Step changes'!R40,""),"")</f>
        <v>24.444761091799609</v>
      </c>
      <c r="S107" s="90">
        <f ca="1">IF(YEAR(S$4)&gt;=FPFirstYear,IF(YEAR(S$4)&lt;=FPLastYear,S106+'Input|Step changes'!S40,""),"")</f>
        <v>24.239738355970601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.15">
      <c r="A109" s="32"/>
      <c r="B109" s="38" t="s">
        <v>23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38" priority="28">
      <formula>J$10=J$4</formula>
    </cfRule>
  </conditionalFormatting>
  <conditionalFormatting sqref="J12:T24">
    <cfRule type="cellIs" dxfId="37" priority="9" operator="equal">
      <formula>0</formula>
    </cfRule>
  </conditionalFormatting>
  <conditionalFormatting sqref="J25:T25">
    <cfRule type="expression" dxfId="36" priority="27">
      <formula>J$10=J$4</formula>
    </cfRule>
  </conditionalFormatting>
  <conditionalFormatting sqref="J26:T54">
    <cfRule type="cellIs" dxfId="35" priority="1" operator="equal">
      <formula>0</formula>
    </cfRule>
  </conditionalFormatting>
  <conditionalFormatting sqref="J54:T54">
    <cfRule type="expression" dxfId="34" priority="26">
      <formula>J$10=J$4</formula>
    </cfRule>
  </conditionalFormatting>
  <conditionalFormatting sqref="J58:T58 J75:T75 J91:T91">
    <cfRule type="expression" dxfId="33" priority="118">
      <formula>J$58=J$4</formula>
    </cfRule>
  </conditionalFormatting>
  <conditionalFormatting sqref="J61:T68">
    <cfRule type="cellIs" dxfId="32" priority="100" operator="equal">
      <formula>0</formula>
    </cfRule>
  </conditionalFormatting>
  <conditionalFormatting sqref="J70:T70">
    <cfRule type="expression" dxfId="31" priority="112">
      <formula>J$58=J$4</formula>
    </cfRule>
  </conditionalFormatting>
  <conditionalFormatting sqref="J70:T71">
    <cfRule type="cellIs" dxfId="30" priority="19" operator="equal">
      <formula>0</formula>
    </cfRule>
  </conditionalFormatting>
  <conditionalFormatting sqref="J77:T85 J93:T99">
    <cfRule type="cellIs" dxfId="29" priority="98" operator="equal">
      <formula>0</formula>
    </cfRule>
  </conditionalFormatting>
  <conditionalFormatting sqref="J87:T87">
    <cfRule type="expression" dxfId="28" priority="116">
      <formula>J$75=J$4</formula>
    </cfRule>
    <cfRule type="cellIs" dxfId="27" priority="117" operator="equal">
      <formula>0</formula>
    </cfRule>
  </conditionalFormatting>
  <conditionalFormatting sqref="J99:T99">
    <cfRule type="expression" dxfId="26" priority="114">
      <formula>J$91=J$4</formula>
    </cfRule>
  </conditionalFormatting>
  <conditionalFormatting sqref="J103:T103">
    <cfRule type="expression" dxfId="25" priority="121">
      <formula>J$103=J$4</formula>
    </cfRule>
  </conditionalFormatting>
  <conditionalFormatting sqref="J105:T107">
    <cfRule type="cellIs" dxfId="24" priority="29" operator="equal">
      <formula>0</formula>
    </cfRule>
  </conditionalFormatting>
  <conditionalFormatting sqref="S1:T1">
    <cfRule type="cellIs" dxfId="23" priority="107" operator="equal">
      <formula>"Check"</formula>
    </cfRule>
    <cfRule type="cellIs" dxfId="22" priority="108" operator="equal">
      <formula>"Ok"</formula>
    </cfRule>
  </conditionalFormatting>
  <conditionalFormatting sqref="W1">
    <cfRule type="cellIs" dxfId="21" priority="109" operator="equal">
      <formula>"Check"</formula>
    </cfRule>
    <cfRule type="cellIs" dxfId="20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'Lookup|Tables'!$H$74:$H$78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O13" sqref="O13"/>
    </sheetView>
  </sheetViews>
  <sheetFormatPr defaultColWidth="0" defaultRowHeight="10.1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74</v>
      </c>
      <c r="T1" s="29"/>
      <c r="V1" s="184" t="s">
        <v>30</v>
      </c>
      <c r="W1" s="29" t="str">
        <f>'Check|List'!$S$1</f>
        <v>Ok</v>
      </c>
    </row>
    <row r="2" spans="1:27" s="31" customFormat="1" ht="13.9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218"/>
      <c r="O3" s="218"/>
      <c r="P3" s="218"/>
      <c r="Q3" s="218"/>
      <c r="R3" s="218"/>
      <c r="S3" s="218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33</v>
      </c>
      <c r="E4" s="56" t="s">
        <v>56</v>
      </c>
      <c r="F4" s="57" t="s">
        <v>62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.15">
      <c r="A8" s="32"/>
      <c r="B8" s="38" t="s">
        <v>159</v>
      </c>
      <c r="C8" s="32"/>
      <c r="D8" s="32"/>
      <c r="E8" s="51" t="s">
        <v>48</v>
      </c>
      <c r="F8" s="111">
        <f>DATE(PPLastYear,MONTH('Input|General'!$G$9),1)</f>
        <v>46174</v>
      </c>
      <c r="G8" s="33"/>
      <c r="H8" s="33"/>
      <c r="I8" s="33"/>
      <c r="J8" s="40" t="s">
        <v>160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161</v>
      </c>
      <c r="D11" s="20" t="s">
        <v>33</v>
      </c>
      <c r="E11" s="20" t="s">
        <v>56</v>
      </c>
      <c r="F11" s="20" t="s">
        <v>62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46539</v>
      </c>
      <c r="P11" s="99">
        <f>IF(YEAR(P$4)&gt;='Input|General'!$G$13,IF(YEAR(P$4)&lt;='Input|General'!$G$14,P$4,""),"")</f>
        <v>46905</v>
      </c>
      <c r="Q11" s="99">
        <f>IF(YEAR(Q$4)&gt;='Input|General'!$G$13,IF(YEAR(Q$4)&lt;='Input|General'!$G$14,Q$4,""),"")</f>
        <v>47270</v>
      </c>
      <c r="R11" s="99">
        <f>IF(YEAR(R$4)&gt;='Input|General'!$G$13,IF(YEAR(R$4)&lt;='Input|General'!$G$14,R$4,""),"")</f>
        <v>47635</v>
      </c>
      <c r="S11" s="99">
        <f>IF(YEAR(S$4)&gt;='Input|General'!$G$13,IF(YEAR(S$4)&lt;='Input|General'!$G$14,S$4,""),"")</f>
        <v>48000</v>
      </c>
      <c r="T11" s="99" t="str">
        <f>IF(YEAR(T$4)&gt;='Input|General'!$G$13,IF(YEAR(T$4)&lt;='Input|General'!$G$14,T$4,""),"")</f>
        <v/>
      </c>
      <c r="V11" s="86" t="s">
        <v>162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163</v>
      </c>
      <c r="E13" s="16" t="str">
        <f>$E$8</f>
        <v>$millions</v>
      </c>
      <c r="F13" s="98">
        <f>$F$8</f>
        <v>46174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22.648518447319205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22.643449899952042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22.635099676540207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22.624985740120703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22.616872938134172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UAG</v>
      </c>
      <c r="D14" s="24" t="s">
        <v>163</v>
      </c>
      <c r="E14" s="16" t="str">
        <f t="shared" ref="E14:E18" si="0">$E$8</f>
        <v>$millions</v>
      </c>
      <c r="F14" s="98">
        <f t="shared" ref="F14:F18" si="1">$F$8</f>
        <v>46174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2.3456415862844704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2.0292000601893219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1.8862468578174103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1.6705624784180768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1.4902728063187181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163</v>
      </c>
      <c r="E15" s="16" t="str">
        <f t="shared" si="0"/>
        <v>$millions</v>
      </c>
      <c r="F15" s="98">
        <f t="shared" si="1"/>
        <v>46174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163</v>
      </c>
      <c r="E16" s="16" t="str">
        <f t="shared" si="0"/>
        <v>$millions</v>
      </c>
      <c r="F16" s="98">
        <f t="shared" si="1"/>
        <v>46174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163</v>
      </c>
      <c r="E17" s="16" t="str">
        <f t="shared" si="0"/>
        <v>$millions</v>
      </c>
      <c r="F17" s="98">
        <f t="shared" si="1"/>
        <v>46174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163</v>
      </c>
      <c r="E18" s="16" t="str">
        <f t="shared" si="0"/>
        <v>$millions</v>
      </c>
      <c r="F18" s="98">
        <f t="shared" si="1"/>
        <v>46174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3.15">
      <c r="A20" s="32"/>
      <c r="B20" s="38" t="s">
        <v>23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19" priority="7">
      <formula>J$11=J$4</formula>
    </cfRule>
  </conditionalFormatting>
  <conditionalFormatting sqref="J13:T18">
    <cfRule type="expression" dxfId="18" priority="3">
      <formula>AND($C13=0,J$11=J$4)</formula>
    </cfRule>
    <cfRule type="expression" dxfId="17" priority="4">
      <formula>NOT(J$11=J$4)</formula>
    </cfRule>
    <cfRule type="expression" dxfId="16" priority="5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6"/>
  <sheetViews>
    <sheetView showGridLines="0" topLeftCell="A44" workbookViewId="0">
      <selection activeCell="I68" sqref="I68"/>
    </sheetView>
  </sheetViews>
  <sheetFormatPr defaultColWidth="0" defaultRowHeight="10.1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/>
      <c r="S1" s="29"/>
      <c r="U1" s="184" t="s">
        <v>30</v>
      </c>
      <c r="V1" s="29" t="str">
        <f>'Check|List'!$S$1</f>
        <v>Ok</v>
      </c>
    </row>
    <row r="2" spans="1:30" s="27" customFormat="1" ht="13.15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.1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.15">
      <c r="A5" s="32"/>
      <c r="B5" s="38" t="s">
        <v>164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33</v>
      </c>
      <c r="E7" s="20"/>
      <c r="F7" s="14"/>
      <c r="G7" s="14" t="s">
        <v>165</v>
      </c>
      <c r="H7" s="14"/>
    </row>
    <row r="8" spans="1:30">
      <c r="C8" s="15" t="s">
        <v>166</v>
      </c>
      <c r="D8" s="16" t="s">
        <v>167</v>
      </c>
      <c r="E8" s="16"/>
      <c r="F8" s="16"/>
      <c r="G8" s="39" t="s">
        <v>166</v>
      </c>
    </row>
    <row r="9" spans="1:30">
      <c r="C9" s="15" t="s">
        <v>40</v>
      </c>
      <c r="D9" s="16" t="s">
        <v>167</v>
      </c>
      <c r="E9" s="16"/>
      <c r="F9" s="16"/>
      <c r="G9" s="39" t="s">
        <v>40</v>
      </c>
    </row>
    <row r="10" spans="1:30">
      <c r="C10" s="15" t="s">
        <v>168</v>
      </c>
      <c r="D10" s="16" t="s">
        <v>39</v>
      </c>
      <c r="E10" s="16"/>
      <c r="F10" s="16"/>
      <c r="G10" s="39" t="s">
        <v>168</v>
      </c>
      <c r="T10" s="17"/>
    </row>
    <row r="11" spans="1:30">
      <c r="C11" s="15" t="s">
        <v>169</v>
      </c>
      <c r="D11" s="16" t="s">
        <v>167</v>
      </c>
      <c r="E11" s="16"/>
      <c r="F11" s="16"/>
      <c r="G11" s="39" t="s">
        <v>169</v>
      </c>
    </row>
    <row r="12" spans="1:30">
      <c r="C12" s="15" t="s">
        <v>170</v>
      </c>
      <c r="D12" s="16" t="s">
        <v>39</v>
      </c>
      <c r="E12" s="16"/>
      <c r="F12" s="16"/>
      <c r="G12" s="39" t="s">
        <v>170</v>
      </c>
      <c r="T12" s="17"/>
    </row>
    <row r="13" spans="1:30">
      <c r="F13" s="8"/>
      <c r="G13" s="8"/>
    </row>
    <row r="14" spans="1:30" customFormat="1" ht="13.15">
      <c r="A14" s="32"/>
      <c r="B14" s="38" t="s">
        <v>171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33</v>
      </c>
      <c r="E16" s="20"/>
      <c r="F16" s="14"/>
      <c r="G16" s="14" t="s">
        <v>165</v>
      </c>
      <c r="H16" s="14"/>
    </row>
    <row r="17" spans="1:30">
      <c r="C17" s="15" t="s">
        <v>172</v>
      </c>
      <c r="D17" s="16" t="s">
        <v>39</v>
      </c>
      <c r="E17" s="16"/>
      <c r="F17" s="16"/>
      <c r="G17" s="39" t="s">
        <v>173</v>
      </c>
    </row>
    <row r="18" spans="1:30">
      <c r="C18" s="15" t="s">
        <v>174</v>
      </c>
      <c r="D18" s="16" t="s">
        <v>39</v>
      </c>
      <c r="E18" s="16"/>
      <c r="F18" s="16"/>
      <c r="G18" s="39" t="s">
        <v>175</v>
      </c>
    </row>
    <row r="19" spans="1:30">
      <c r="C19" s="15" t="s">
        <v>176</v>
      </c>
      <c r="D19" s="16" t="s">
        <v>39</v>
      </c>
      <c r="E19" s="16"/>
      <c r="F19" s="16"/>
      <c r="G19" s="39" t="s">
        <v>48</v>
      </c>
      <c r="T19" s="17"/>
    </row>
    <row r="20" spans="1:30">
      <c r="F20" s="8"/>
      <c r="G20" s="8"/>
    </row>
    <row r="21" spans="1:30">
      <c r="C21" s="15" t="s">
        <v>58</v>
      </c>
      <c r="D21" s="16" t="s">
        <v>39</v>
      </c>
      <c r="E21" s="16"/>
      <c r="F21" s="16"/>
      <c r="G21" s="39" t="s">
        <v>118</v>
      </c>
    </row>
    <row r="22" spans="1:30">
      <c r="C22" s="15" t="s">
        <v>56</v>
      </c>
      <c r="D22" s="16" t="s">
        <v>39</v>
      </c>
      <c r="E22" s="16"/>
      <c r="F22" s="16"/>
      <c r="G22" s="39" t="s">
        <v>177</v>
      </c>
    </row>
    <row r="23" spans="1:30">
      <c r="C23" s="15" t="s">
        <v>178</v>
      </c>
      <c r="D23" s="16" t="s">
        <v>39</v>
      </c>
      <c r="E23" s="16"/>
      <c r="F23" s="16"/>
      <c r="G23" s="39" t="s">
        <v>82</v>
      </c>
    </row>
    <row r="24" spans="1:30">
      <c r="C24" s="15" t="s">
        <v>179</v>
      </c>
      <c r="D24" s="16" t="s">
        <v>39</v>
      </c>
      <c r="E24" s="16"/>
      <c r="F24" s="16"/>
      <c r="G24" s="39" t="s">
        <v>180</v>
      </c>
    </row>
    <row r="25" spans="1:30">
      <c r="C25" s="15"/>
      <c r="D25" s="16"/>
      <c r="E25" s="16"/>
      <c r="F25" s="16"/>
      <c r="G25" s="8"/>
    </row>
    <row r="26" spans="1:30">
      <c r="C26" s="15" t="s">
        <v>102</v>
      </c>
      <c r="D26" s="16" t="s">
        <v>39</v>
      </c>
      <c r="E26" s="16"/>
      <c r="F26" s="16"/>
      <c r="G26" s="39" t="s">
        <v>102</v>
      </c>
    </row>
    <row r="27" spans="1:30">
      <c r="C27" s="15" t="s">
        <v>103</v>
      </c>
      <c r="D27" s="16" t="s">
        <v>39</v>
      </c>
      <c r="E27" s="16"/>
      <c r="F27" s="16"/>
      <c r="G27" s="39" t="s">
        <v>103</v>
      </c>
    </row>
    <row r="28" spans="1:30">
      <c r="C28" s="15"/>
      <c r="D28" s="16"/>
      <c r="E28" s="16"/>
      <c r="F28" s="16"/>
      <c r="G28" s="8"/>
    </row>
    <row r="29" spans="1:30" customFormat="1" ht="13.15">
      <c r="A29" s="32"/>
      <c r="B29" s="38" t="s">
        <v>181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33</v>
      </c>
      <c r="E31" s="20"/>
      <c r="F31" s="14"/>
      <c r="G31" s="14" t="s">
        <v>165</v>
      </c>
      <c r="H31" s="14"/>
    </row>
    <row r="32" spans="1:30">
      <c r="C32" s="15" t="s">
        <v>182</v>
      </c>
      <c r="D32" s="16" t="s">
        <v>39</v>
      </c>
      <c r="E32" s="16"/>
      <c r="F32" s="16"/>
      <c r="G32" s="92">
        <v>36526</v>
      </c>
      <c r="H32" s="14"/>
    </row>
    <row r="33" spans="1:30">
      <c r="C33" s="15" t="s">
        <v>183</v>
      </c>
      <c r="D33" s="16" t="s">
        <v>39</v>
      </c>
      <c r="E33" s="16"/>
      <c r="F33" s="16"/>
      <c r="G33" s="92">
        <v>36557</v>
      </c>
      <c r="H33" s="14"/>
    </row>
    <row r="34" spans="1:30">
      <c r="C34" s="15" t="s">
        <v>184</v>
      </c>
      <c r="D34" s="16" t="s">
        <v>39</v>
      </c>
      <c r="E34" s="16"/>
      <c r="F34" s="16"/>
      <c r="G34" s="92">
        <v>36586</v>
      </c>
      <c r="H34" s="14"/>
    </row>
    <row r="35" spans="1:30">
      <c r="C35" s="15" t="s">
        <v>185</v>
      </c>
      <c r="D35" s="16" t="s">
        <v>39</v>
      </c>
      <c r="E35" s="16"/>
      <c r="F35" s="16"/>
      <c r="G35" s="92">
        <v>36617</v>
      </c>
    </row>
    <row r="36" spans="1:30">
      <c r="C36" s="15" t="s">
        <v>186</v>
      </c>
      <c r="D36" s="16" t="s">
        <v>39</v>
      </c>
      <c r="E36" s="16"/>
      <c r="F36" s="16"/>
      <c r="G36" s="92">
        <v>36647</v>
      </c>
    </row>
    <row r="37" spans="1:30">
      <c r="C37" s="15" t="s">
        <v>187</v>
      </c>
      <c r="D37" s="16" t="s">
        <v>39</v>
      </c>
      <c r="E37" s="16"/>
      <c r="F37" s="16"/>
      <c r="G37" s="92">
        <v>36678</v>
      </c>
      <c r="T37" s="17"/>
    </row>
    <row r="38" spans="1:30">
      <c r="C38" s="15" t="s">
        <v>188</v>
      </c>
      <c r="D38" s="16" t="s">
        <v>39</v>
      </c>
      <c r="E38" s="16"/>
      <c r="F38" s="16"/>
      <c r="G38" s="92">
        <v>36708</v>
      </c>
      <c r="T38" s="17"/>
    </row>
    <row r="39" spans="1:30">
      <c r="C39" s="15" t="s">
        <v>189</v>
      </c>
      <c r="D39" s="16" t="s">
        <v>39</v>
      </c>
      <c r="E39" s="16"/>
      <c r="F39" s="16"/>
      <c r="G39" s="92">
        <v>36739</v>
      </c>
      <c r="T39" s="17"/>
    </row>
    <row r="40" spans="1:30">
      <c r="C40" s="15" t="s">
        <v>190</v>
      </c>
      <c r="D40" s="16" t="s">
        <v>39</v>
      </c>
      <c r="E40" s="16"/>
      <c r="F40" s="16"/>
      <c r="G40" s="92">
        <v>36770</v>
      </c>
      <c r="T40" s="17"/>
    </row>
    <row r="41" spans="1:30">
      <c r="C41" s="15" t="s">
        <v>191</v>
      </c>
      <c r="D41" s="16" t="s">
        <v>39</v>
      </c>
      <c r="E41" s="16"/>
      <c r="F41" s="16"/>
      <c r="G41" s="92">
        <v>36800</v>
      </c>
      <c r="T41" s="17"/>
    </row>
    <row r="42" spans="1:30">
      <c r="C42" s="15" t="s">
        <v>192</v>
      </c>
      <c r="D42" s="16" t="s">
        <v>39</v>
      </c>
      <c r="E42" s="16"/>
      <c r="F42" s="16"/>
      <c r="G42" s="92">
        <v>36831</v>
      </c>
      <c r="T42" s="17"/>
    </row>
    <row r="43" spans="1:30">
      <c r="C43" s="15" t="s">
        <v>193</v>
      </c>
      <c r="D43" s="16" t="s">
        <v>39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.15">
      <c r="A45" s="32"/>
      <c r="B45" s="38" t="s">
        <v>194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33</v>
      </c>
      <c r="E47" s="20"/>
      <c r="F47" s="14"/>
      <c r="G47" s="14" t="s">
        <v>195</v>
      </c>
      <c r="H47" s="14" t="s">
        <v>196</v>
      </c>
      <c r="I47" s="14" t="s">
        <v>197</v>
      </c>
    </row>
    <row r="48" spans="1:30">
      <c r="C48" s="97">
        <v>40695</v>
      </c>
      <c r="D48" s="16" t="s">
        <v>39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39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8" si="0">G49-1&amp;"–"&amp;RIGHT(G49,2)</f>
        <v>2011–12</v>
      </c>
    </row>
    <row r="50" spans="3:20">
      <c r="C50" s="97">
        <v>41426</v>
      </c>
      <c r="D50" s="16" t="s">
        <v>39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39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39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39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39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39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39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39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39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39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39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39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39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39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39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39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39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39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>
      <c r="C68" s="97">
        <v>48001</v>
      </c>
      <c r="D68" s="16"/>
      <c r="E68" s="16"/>
      <c r="F68" s="16"/>
      <c r="G68" s="207">
        <v>2031</v>
      </c>
      <c r="H68" s="114">
        <v>48000</v>
      </c>
      <c r="I68" s="208" t="str">
        <f t="shared" si="0"/>
        <v>2030–31</v>
      </c>
      <c r="T68" s="17"/>
    </row>
    <row r="69" spans="1:30"/>
    <row r="70" spans="1:30" customFormat="1" ht="13.15">
      <c r="A70" s="32"/>
      <c r="B70" s="38" t="s">
        <v>198</v>
      </c>
      <c r="C70" s="32"/>
      <c r="D70" s="32"/>
      <c r="E70" s="32"/>
      <c r="F70" s="33"/>
      <c r="G70" s="33"/>
      <c r="H70" s="33"/>
      <c r="I70" s="33"/>
      <c r="J70" s="34"/>
      <c r="K70" s="35"/>
      <c r="L70" s="34"/>
      <c r="M70" s="35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6"/>
      <c r="Y70" s="36"/>
      <c r="Z70" s="36"/>
      <c r="AA70" s="36"/>
      <c r="AB70" s="36"/>
      <c r="AC70" s="37"/>
      <c r="AD70" s="37"/>
    </row>
    <row r="71" spans="1:30"/>
    <row r="72" spans="1:30">
      <c r="C72" s="13" t="str">
        <f>B70</f>
        <v>Regulatory years</v>
      </c>
      <c r="D72" s="20" t="s">
        <v>33</v>
      </c>
      <c r="E72" s="20"/>
      <c r="F72" s="14"/>
      <c r="G72" s="14" t="s">
        <v>199</v>
      </c>
      <c r="H72" s="14" t="s">
        <v>41</v>
      </c>
    </row>
    <row r="73" spans="1:30">
      <c r="C73" s="15" t="s">
        <v>200</v>
      </c>
      <c r="D73" s="16" t="s">
        <v>64</v>
      </c>
      <c r="E73" s="20"/>
      <c r="F73" s="14"/>
      <c r="G73" s="106" t="str">
        <f>IF(H73="","",IF(MONTH(H73)=12,YEAR(H73),YEAR(H73)-1&amp;"–"&amp;RIGHT(YEAR(H73),2)))</f>
        <v>2020–21</v>
      </c>
      <c r="H73" s="107">
        <f>DATE(PPFirstYear-1,MONTH('Input|General'!$G$9),1)</f>
        <v>44348</v>
      </c>
    </row>
    <row r="74" spans="1:30">
      <c r="C74" s="15" t="s">
        <v>201</v>
      </c>
      <c r="D74" s="16" t="s">
        <v>64</v>
      </c>
      <c r="E74" s="16"/>
      <c r="F74" s="16"/>
      <c r="G74" s="106" t="str">
        <f t="shared" ref="G74:G83" si="1">IF(H74="","",IF(MONTH(H74)=12,YEAR(H74),YEAR(H74)-1&amp;"–"&amp;RIGHT(YEAR(H74),2)))</f>
        <v>2021–22</v>
      </c>
      <c r="H74" s="107">
        <f>DATE(PPFirstYear,MONTH('Input|General'!$G$9),1)</f>
        <v>44713</v>
      </c>
    </row>
    <row r="75" spans="1:30">
      <c r="C75" s="15" t="s">
        <v>202</v>
      </c>
      <c r="D75" s="16" t="s">
        <v>64</v>
      </c>
      <c r="E75" s="16"/>
      <c r="F75" s="16"/>
      <c r="G75" s="106" t="str">
        <f t="shared" si="1"/>
        <v>2022–23</v>
      </c>
      <c r="H75" s="107">
        <f>IF(PPLastYear-PPFirstYear&lt;1,"",DATE(PPFirstYear+1,MONTH('Input|General'!$G$9),1))</f>
        <v>45078</v>
      </c>
    </row>
    <row r="76" spans="1:30">
      <c r="C76" s="15" t="s">
        <v>203</v>
      </c>
      <c r="D76" s="16" t="s">
        <v>64</v>
      </c>
      <c r="E76" s="16"/>
      <c r="F76" s="16"/>
      <c r="G76" s="106" t="str">
        <f t="shared" si="1"/>
        <v>2023–24</v>
      </c>
      <c r="H76" s="107">
        <f>IF(PPLastYear-PPFirstYear&lt;2,"",DATE(PPFirstYear+2,MONTH('Input|General'!$G$9),1))</f>
        <v>45444</v>
      </c>
    </row>
    <row r="77" spans="1:30">
      <c r="C77" s="15" t="s">
        <v>204</v>
      </c>
      <c r="D77" s="16" t="s">
        <v>64</v>
      </c>
      <c r="E77" s="16"/>
      <c r="F77" s="16"/>
      <c r="G77" s="106" t="str">
        <f t="shared" si="1"/>
        <v>2024–25</v>
      </c>
      <c r="H77" s="107">
        <f>IF(PPLastYear-PPFirstYear&lt;3,"",DATE(PPFirstYear+3,MONTH('Input|General'!$G$9),1))</f>
        <v>45809</v>
      </c>
    </row>
    <row r="78" spans="1:30">
      <c r="C78" s="15" t="s">
        <v>205</v>
      </c>
      <c r="D78" s="16" t="s">
        <v>64</v>
      </c>
      <c r="E78" s="16"/>
      <c r="F78" s="16"/>
      <c r="G78" s="106" t="str">
        <f t="shared" si="1"/>
        <v>2025–26</v>
      </c>
      <c r="H78" s="107">
        <f>IF(PPLastYear-PPFirstYear&lt;4,"",DATE(PPFirstYear+4,MONTH('Input|General'!$G$9),1))</f>
        <v>46174</v>
      </c>
    </row>
    <row r="79" spans="1:30">
      <c r="C79" s="15" t="s">
        <v>206</v>
      </c>
      <c r="D79" s="16" t="s">
        <v>64</v>
      </c>
      <c r="E79" s="16"/>
      <c r="F79" s="16"/>
      <c r="G79" s="106" t="str">
        <f t="shared" si="1"/>
        <v/>
      </c>
      <c r="H79" s="107" t="str">
        <f>IF(PPLastYear-PPFirstYear&lt;5,"",DATE(PPFirstYear+5,MONTH('Input|General'!$G$9),1))</f>
        <v/>
      </c>
    </row>
    <row r="80" spans="1:30">
      <c r="C80" s="15" t="s">
        <v>207</v>
      </c>
      <c r="D80" s="16" t="s">
        <v>64</v>
      </c>
      <c r="E80" s="16"/>
      <c r="F80" s="16"/>
      <c r="G80" s="106" t="str">
        <f t="shared" si="1"/>
        <v>2026–27</v>
      </c>
      <c r="H80" s="107">
        <f>DATE(FPFirstYear,MONTH('Input|General'!$G$9),1)</f>
        <v>46539</v>
      </c>
      <c r="T80" s="17"/>
    </row>
    <row r="81" spans="1:30">
      <c r="C81" s="15" t="s">
        <v>208</v>
      </c>
      <c r="D81" s="16" t="s">
        <v>64</v>
      </c>
      <c r="E81" s="16"/>
      <c r="F81" s="16"/>
      <c r="G81" s="106" t="str">
        <f t="shared" si="1"/>
        <v>2027–28</v>
      </c>
      <c r="H81" s="107">
        <f>IF(FPLastYear-FPFirstYear&lt;1,"",DATE(FPFirstYear+1,MONTH('Input|General'!$G$9),1))</f>
        <v>46905</v>
      </c>
      <c r="T81" s="17"/>
    </row>
    <row r="82" spans="1:30">
      <c r="C82" s="15" t="s">
        <v>209</v>
      </c>
      <c r="D82" s="16" t="s">
        <v>64</v>
      </c>
      <c r="E82" s="16"/>
      <c r="F82" s="16"/>
      <c r="G82" s="106" t="str">
        <f t="shared" si="1"/>
        <v>2028–29</v>
      </c>
      <c r="H82" s="107">
        <f>IF(FPLastYear-FPFirstYear&lt;2,"",DATE(FPFirstYear+2,MONTH('Input|General'!$G$9),1))</f>
        <v>47270</v>
      </c>
      <c r="T82" s="17"/>
    </row>
    <row r="83" spans="1:30">
      <c r="C83" s="15" t="s">
        <v>210</v>
      </c>
      <c r="D83" s="16" t="s">
        <v>64</v>
      </c>
      <c r="E83" s="16"/>
      <c r="F83" s="16"/>
      <c r="G83" s="106" t="str">
        <f t="shared" si="1"/>
        <v>2029–30</v>
      </c>
      <c r="H83" s="107">
        <f>IF(FPLastYear-FPFirstYear&lt;3,"",DATE(FPFirstYear+3,MONTH('Input|General'!$G$9),1))</f>
        <v>47635</v>
      </c>
      <c r="T83" s="17"/>
    </row>
    <row r="84" spans="1:30">
      <c r="C84" s="15" t="s">
        <v>211</v>
      </c>
      <c r="D84" s="16" t="s">
        <v>64</v>
      </c>
      <c r="E84" s="16"/>
      <c r="F84" s="16"/>
      <c r="G84" s="106" t="str">
        <f>IF(H84="","",IF(MONTH(H84)=12,YEAR(H84),YEAR(H84)-1&amp;"–"&amp;RIGHT(YEAR(H84),2)))</f>
        <v>2030–31</v>
      </c>
      <c r="H84" s="107">
        <f>IF(FPLastYear-FPFirstYear&lt;4,"",DATE(FPFirstYear+4,MONTH('Input|General'!$G$9),1))</f>
        <v>48000</v>
      </c>
      <c r="T84" s="17"/>
    </row>
    <row r="85" spans="1:30">
      <c r="C85" s="15"/>
      <c r="D85" s="16"/>
      <c r="E85" s="16"/>
      <c r="F85" s="16"/>
      <c r="G85" s="113"/>
      <c r="H85" s="114"/>
      <c r="T85" s="17"/>
    </row>
    <row r="86" spans="1:30" customFormat="1" ht="13.15">
      <c r="A86" s="32"/>
      <c r="B86" s="38" t="s">
        <v>23</v>
      </c>
      <c r="C86" s="32"/>
      <c r="D86" s="32"/>
      <c r="E86" s="32"/>
      <c r="F86" s="33"/>
      <c r="G86" s="33"/>
      <c r="H86" s="33"/>
      <c r="I86" s="33"/>
      <c r="J86" s="34"/>
      <c r="K86" s="35"/>
      <c r="L86" s="34"/>
      <c r="M86" s="35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6"/>
      <c r="Y86" s="36"/>
      <c r="Z86" s="36"/>
      <c r="AA86" s="36"/>
      <c r="AB86" s="36"/>
      <c r="AC86" s="37"/>
      <c r="AD86" s="37"/>
    </row>
  </sheetData>
  <sheetProtection selectLockedCells="1"/>
  <conditionalFormatting sqref="P21:Q28">
    <cfRule type="expression" dxfId="11" priority="55" stopIfTrue="1">
      <formula>#REF!="Actual"</formula>
    </cfRule>
  </conditionalFormatting>
  <conditionalFormatting sqref="P69:Q69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C11" sqref="C11"/>
    </sheetView>
  </sheetViews>
  <sheetFormatPr defaultColWidth="0" defaultRowHeight="10.1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184" t="s">
        <v>30</v>
      </c>
      <c r="S1" s="29" t="str">
        <f>IF(COUNTIF(G10:G16,"Check")=0,"Ok","Check")</f>
        <v>Ok</v>
      </c>
      <c r="U1" s="28"/>
      <c r="V1" s="29"/>
    </row>
    <row r="2" spans="1:30" s="27" customFormat="1" ht="13.15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.1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.15">
      <c r="A7" s="32"/>
      <c r="B7" s="38" t="s">
        <v>212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213</v>
      </c>
      <c r="D9" s="14" t="s">
        <v>33</v>
      </c>
      <c r="E9" s="14" t="s">
        <v>56</v>
      </c>
      <c r="F9" s="14"/>
      <c r="G9" s="14" t="s">
        <v>214</v>
      </c>
    </row>
    <row r="10" spans="1:30">
      <c r="C10" s="15" t="str">
        <f>Index!C7</f>
        <v>Input | General</v>
      </c>
      <c r="D10" s="185" t="str">
        <f>C10</f>
        <v>Input | General</v>
      </c>
      <c r="E10" s="16" t="s">
        <v>73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85" t="str">
        <f>C11</f>
        <v>Input | Inflation</v>
      </c>
      <c r="E11" s="16" t="s">
        <v>73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185" t="str">
        <f t="shared" ref="D12:D16" si="0">C12</f>
        <v>Input | Reported opex</v>
      </c>
      <c r="E12" s="16" t="s">
        <v>73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185" t="str">
        <f t="shared" si="0"/>
        <v>Input | Rate of change</v>
      </c>
      <c r="E13" s="16" t="s">
        <v>73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185" t="str">
        <f t="shared" si="0"/>
        <v>Input | Step changes</v>
      </c>
      <c r="E14" s="16" t="s">
        <v>73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185" t="str">
        <f t="shared" si="0"/>
        <v>Calc | Opex Forecast</v>
      </c>
      <c r="E15" s="16" t="s">
        <v>73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185" t="str">
        <f t="shared" si="0"/>
        <v>Output | Models</v>
      </c>
      <c r="E16" s="16" t="s">
        <v>73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.15">
      <c r="A18" s="32"/>
      <c r="B18" s="38" t="s">
        <v>23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e708b7-70c9-4619-8adb-98af544b7362">
      <Terms xmlns="http://schemas.microsoft.com/office/infopath/2007/PartnerControls"/>
    </lcf76f155ced4ddcb4097134ff3c332f>
    <TaxCatchAll xmlns="d31dddaa-878a-4ea0-a049-155b52ca24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24BB75BCEF649A3A4EA2C8EA2DEE6" ma:contentTypeVersion="15" ma:contentTypeDescription="Create a new document." ma:contentTypeScope="" ma:versionID="f3a2c1669e6be8d5d6ac90f34d3e0791">
  <xsd:schema xmlns:xsd="http://www.w3.org/2001/XMLSchema" xmlns:xs="http://www.w3.org/2001/XMLSchema" xmlns:p="http://schemas.microsoft.com/office/2006/metadata/properties" xmlns:ns2="20e708b7-70c9-4619-8adb-98af544b7362" xmlns:ns3="d31dddaa-878a-4ea0-a049-155b52ca24f9" targetNamespace="http://schemas.microsoft.com/office/2006/metadata/properties" ma:root="true" ma:fieldsID="296f4dc2f06fa6070f284d8771c9a073" ns2:_="" ns3:_="">
    <xsd:import namespace="20e708b7-70c9-4619-8adb-98af544b7362"/>
    <xsd:import namespace="d31dddaa-878a-4ea0-a049-155b52ca2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708b7-70c9-4619-8adb-98af544b7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dddaa-878a-4ea0-a049-155b52ca2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432c59-4d96-4a01-9b84-7b4fb17f7643}" ma:internalName="TaxCatchAll" ma:showField="CatchAllData" ma:web="d31dddaa-878a-4ea0-a049-155b52ca2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F589-4243-4A37-AB80-CB153294EC76}"/>
</file>

<file path=customXml/itemProps2.xml><?xml version="1.0" encoding="utf-8"?>
<ds:datastoreItem xmlns:ds="http://schemas.openxmlformats.org/officeDocument/2006/customXml" ds:itemID="{8A1A9E51-47E5-496E-A7B3-2B104CDF4372}"/>
</file>

<file path=customXml/itemProps3.xml><?xml version="1.0" encoding="utf-8"?>
<ds:datastoreItem xmlns:ds="http://schemas.openxmlformats.org/officeDocument/2006/customXml" ds:itemID="{A1E47B4F-201C-4D24-AA7C-5343EC6A3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2025-06-23T01:15:35Z</dcterms:created>
  <dcterms:modified xsi:type="dcterms:W3CDTF">2025-06-30T23:04:42Z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6e7cc6d-dbcf-401d-bb32-132838d0c8c7_Enabled">
    <vt:lpwstr>true</vt:lpwstr>
  </property>
  <property fmtid="{D5CDD505-2E9C-101B-9397-08002B2CF9AE}" pid="3" name="MSIP_Label_96e7cc6d-dbcf-401d-bb32-132838d0c8c7_SetDate">
    <vt:lpwstr>2025-06-23T01:16:31Z</vt:lpwstr>
  </property>
  <property fmtid="{D5CDD505-2E9C-101B-9397-08002B2CF9AE}" pid="4" name="MSIP_Label_96e7cc6d-dbcf-401d-bb32-132838d0c8c7_Method">
    <vt:lpwstr>Privileged</vt:lpwstr>
  </property>
  <property fmtid="{D5CDD505-2E9C-101B-9397-08002B2CF9AE}" pid="5" name="MSIP_Label_96e7cc6d-dbcf-401d-bb32-132838d0c8c7_Name">
    <vt:lpwstr>OFFICIAL</vt:lpwstr>
  </property>
  <property fmtid="{D5CDD505-2E9C-101B-9397-08002B2CF9AE}" pid="6" name="MSIP_Label_96e7cc6d-dbcf-401d-bb32-132838d0c8c7_SiteId">
    <vt:lpwstr>2a61d4c5-077b-4aba-8d42-5cd0ebd862ef</vt:lpwstr>
  </property>
  <property fmtid="{D5CDD505-2E9C-101B-9397-08002B2CF9AE}" pid="7" name="MSIP_Label_96e7cc6d-dbcf-401d-bb32-132838d0c8c7_ActionId">
    <vt:lpwstr>31ab13e4-620b-40fe-8dd3-50840aa8718d</vt:lpwstr>
  </property>
  <property fmtid="{D5CDD505-2E9C-101B-9397-08002B2CF9AE}" pid="8" name="MSIP_Label_96e7cc6d-dbcf-401d-bb32-132838d0c8c7_ContentBits">
    <vt:lpwstr>2</vt:lpwstr>
  </property>
  <property fmtid="{D5CDD505-2E9C-101B-9397-08002B2CF9AE}" pid="9" name="MSIP_Label_96e7cc6d-dbcf-401d-bb32-132838d0c8c7_Tag">
    <vt:lpwstr>10, 0, 1, 1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MediaServiceImageTags">
    <vt:lpwstr/>
  </property>
  <property fmtid="{D5CDD505-2E9C-101B-9397-08002B2CF9AE}" pid="12" name="ContentTypeId">
    <vt:lpwstr>0x010100C8F24BB75BCEF649A3A4EA2C8EA2DEE6</vt:lpwstr>
  </property>
  <property fmtid="{D5CDD505-2E9C-101B-9397-08002B2CF9AE}" pid="13" name="SV_HIDDEN_GRID_QUERY_LIST_4F35BF76-6C0D-4D9B-82B2-816C12CF3733">
    <vt:lpwstr>empty_477D106A-C0D6-4607-AEBD-E2C9D60EA279</vt:lpwstr>
  </property>
</Properties>
</file>